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5600" windowHeight="7650"/>
  </bookViews>
  <sheets>
    <sheet name="PPCG OPTION" sheetId="1" r:id="rId1"/>
    <sheet name="BTST OPTION " sheetId="2" r:id="rId2"/>
  </sheets>
  <calcPr calcId="124519"/>
</workbook>
</file>

<file path=xl/calcChain.xml><?xml version="1.0" encoding="utf-8"?>
<calcChain xmlns="http://schemas.openxmlformats.org/spreadsheetml/2006/main">
  <c r="L10" i="1"/>
  <c r="M10" s="1"/>
  <c r="J10"/>
  <c r="J11"/>
  <c r="J12"/>
  <c r="L12" s="1"/>
  <c r="M12" s="1"/>
  <c r="L13"/>
  <c r="M13" s="1"/>
  <c r="J13"/>
  <c r="J14"/>
  <c r="K14"/>
  <c r="L14" s="1"/>
  <c r="M14" s="1"/>
  <c r="J10" i="2"/>
  <c r="L10" s="1"/>
  <c r="M10" s="1"/>
  <c r="J15" i="1"/>
  <c r="L15" s="1"/>
  <c r="M15" s="1"/>
  <c r="J16"/>
  <c r="L16" s="1"/>
  <c r="M16" s="1"/>
  <c r="L17"/>
  <c r="M17" s="1"/>
  <c r="J17"/>
  <c r="J18"/>
  <c r="L18" s="1"/>
  <c r="M18" s="1"/>
  <c r="J20"/>
  <c r="L20" s="1"/>
  <c r="M20" s="1"/>
  <c r="J19"/>
  <c r="L19" s="1"/>
  <c r="M19" s="1"/>
  <c r="J22"/>
  <c r="L22" s="1"/>
  <c r="M22" s="1"/>
  <c r="J21"/>
  <c r="L21" s="1"/>
  <c r="M21" s="1"/>
  <c r="L23"/>
  <c r="M23" s="1"/>
  <c r="J23"/>
  <c r="J25"/>
  <c r="L25" s="1"/>
  <c r="M25" s="1"/>
  <c r="J24"/>
  <c r="L24" s="1"/>
  <c r="M24" s="1"/>
  <c r="K26"/>
  <c r="J27"/>
  <c r="L27" s="1"/>
  <c r="M27" s="1"/>
  <c r="J26"/>
  <c r="K28"/>
  <c r="J28"/>
  <c r="J29"/>
  <c r="L29" s="1"/>
  <c r="M29" s="1"/>
  <c r="K30"/>
  <c r="J30"/>
  <c r="J31"/>
  <c r="L31" s="1"/>
  <c r="M31" s="1"/>
  <c r="J32"/>
  <c r="L32" s="1"/>
  <c r="M32" s="1"/>
  <c r="J33"/>
  <c r="L33" s="1"/>
  <c r="M33" s="1"/>
  <c r="J34"/>
  <c r="L34" s="1"/>
  <c r="M34" s="1"/>
  <c r="J35"/>
  <c r="L35" s="1"/>
  <c r="M35" s="1"/>
  <c r="J36"/>
  <c r="L36" s="1"/>
  <c r="M36" s="1"/>
  <c r="J37"/>
  <c r="L37" s="1"/>
  <c r="M37" s="1"/>
  <c r="J38"/>
  <c r="L38" s="1"/>
  <c r="M38" s="1"/>
  <c r="J39"/>
  <c r="L39" s="1"/>
  <c r="M39" s="1"/>
  <c r="J40"/>
  <c r="L40" s="1"/>
  <c r="M40" s="1"/>
  <c r="K42"/>
  <c r="J42"/>
  <c r="J41"/>
  <c r="K43"/>
  <c r="J43"/>
  <c r="K44"/>
  <c r="J44"/>
  <c r="J45"/>
  <c r="L45" s="1"/>
  <c r="M45" s="1"/>
  <c r="K46"/>
  <c r="J46"/>
  <c r="J47"/>
  <c r="L47" s="1"/>
  <c r="M47" s="1"/>
  <c r="J48"/>
  <c r="L48" s="1"/>
  <c r="M48" s="1"/>
  <c r="K49"/>
  <c r="J49"/>
  <c r="J51"/>
  <c r="L51" s="1"/>
  <c r="M51" s="1"/>
  <c r="J50"/>
  <c r="K50"/>
  <c r="J52"/>
  <c r="L52" s="1"/>
  <c r="M52" s="1"/>
  <c r="J53"/>
  <c r="L53" s="1"/>
  <c r="M53" s="1"/>
  <c r="J54"/>
  <c r="L54" s="1"/>
  <c r="M54" s="1"/>
  <c r="K55"/>
  <c r="J55"/>
  <c r="J56"/>
  <c r="L56" s="1"/>
  <c r="M56" s="1"/>
  <c r="J57"/>
  <c r="J58"/>
  <c r="L58" s="1"/>
  <c r="M58" s="1"/>
  <c r="K59"/>
  <c r="J59"/>
  <c r="J60"/>
  <c r="L60" s="1"/>
  <c r="M60" s="1"/>
  <c r="J61"/>
  <c r="L61" s="1"/>
  <c r="M61" s="1"/>
  <c r="J62"/>
  <c r="L62" s="1"/>
  <c r="M62" s="1"/>
  <c r="J63"/>
  <c r="L63" s="1"/>
  <c r="M63" s="1"/>
  <c r="K64"/>
  <c r="J64"/>
  <c r="J65"/>
  <c r="L65" s="1"/>
  <c r="M65" s="1"/>
  <c r="J66"/>
  <c r="L66" s="1"/>
  <c r="M66" s="1"/>
  <c r="J67"/>
  <c r="L67" s="1"/>
  <c r="M67" s="1"/>
  <c r="J68"/>
  <c r="L68" s="1"/>
  <c r="M68" s="1"/>
  <c r="J69"/>
  <c r="L69" s="1"/>
  <c r="M69" s="1"/>
  <c r="J70"/>
  <c r="L70" s="1"/>
  <c r="M70" s="1"/>
  <c r="J71"/>
  <c r="K72"/>
  <c r="J72"/>
  <c r="J73"/>
  <c r="L73" s="1"/>
  <c r="M73" s="1"/>
  <c r="I74"/>
  <c r="J74"/>
  <c r="L74" s="1"/>
  <c r="M74" s="1"/>
  <c r="J75"/>
  <c r="L75" s="1"/>
  <c r="M75" s="1"/>
  <c r="J76"/>
  <c r="L76" s="1"/>
  <c r="M76" s="1"/>
  <c r="J77"/>
  <c r="L77" s="1"/>
  <c r="M77" s="1"/>
  <c r="J78"/>
  <c r="L78" s="1"/>
  <c r="M78" s="1"/>
  <c r="J80"/>
  <c r="L80" s="1"/>
  <c r="M80" s="1"/>
  <c r="J79"/>
  <c r="K81"/>
  <c r="J81"/>
  <c r="J82"/>
  <c r="L82" s="1"/>
  <c r="M82" s="1"/>
  <c r="J83"/>
  <c r="L83" s="1"/>
  <c r="M83" s="1"/>
  <c r="J84"/>
  <c r="L84" s="1"/>
  <c r="M84" s="1"/>
  <c r="K86"/>
  <c r="J85"/>
  <c r="L85" s="1"/>
  <c r="M85" s="1"/>
  <c r="J86"/>
  <c r="J87"/>
  <c r="L87" s="1"/>
  <c r="M87" s="1"/>
  <c r="J88"/>
  <c r="J89"/>
  <c r="J90"/>
  <c r="K91"/>
  <c r="J91"/>
  <c r="J92"/>
  <c r="J93"/>
  <c r="K94"/>
  <c r="J94"/>
  <c r="J95"/>
  <c r="L95" s="1"/>
  <c r="M95" s="1"/>
  <c r="J96"/>
  <c r="L96" s="1"/>
  <c r="M96" s="1"/>
  <c r="J97"/>
  <c r="L97" s="1"/>
  <c r="M97" s="1"/>
  <c r="K99"/>
  <c r="J98"/>
  <c r="L98" s="1"/>
  <c r="M98" s="1"/>
  <c r="J99"/>
  <c r="J100"/>
  <c r="K101"/>
  <c r="J101"/>
  <c r="J102"/>
  <c r="L102" s="1"/>
  <c r="M102" s="1"/>
  <c r="J103"/>
  <c r="L103" s="1"/>
  <c r="M103" s="1"/>
  <c r="J104"/>
  <c r="L104" s="1"/>
  <c r="M104" s="1"/>
  <c r="J105"/>
  <c r="L105" s="1"/>
  <c r="M105" s="1"/>
  <c r="J106"/>
  <c r="L106" s="1"/>
  <c r="M106" s="1"/>
  <c r="J107"/>
  <c r="L107" s="1"/>
  <c r="M107" s="1"/>
  <c r="J108"/>
  <c r="L108" s="1"/>
  <c r="M108" s="1"/>
  <c r="J109"/>
  <c r="L109" s="1"/>
  <c r="M109" s="1"/>
  <c r="J110"/>
  <c r="L110" s="1"/>
  <c r="M110" s="1"/>
  <c r="J111"/>
  <c r="L111" s="1"/>
  <c r="M111" s="1"/>
  <c r="J112"/>
  <c r="L112" s="1"/>
  <c r="M112" s="1"/>
  <c r="J113"/>
  <c r="L113" s="1"/>
  <c r="M113" s="1"/>
  <c r="J114"/>
  <c r="L114" s="1"/>
  <c r="M114" s="1"/>
  <c r="J115"/>
  <c r="L115" s="1"/>
  <c r="M115" s="1"/>
  <c r="K117"/>
  <c r="J116"/>
  <c r="L116" s="1"/>
  <c r="M116" s="1"/>
  <c r="J117"/>
  <c r="J119"/>
  <c r="L119" s="1"/>
  <c r="M119" s="1"/>
  <c r="J118"/>
  <c r="L118" s="1"/>
  <c r="M118" s="1"/>
  <c r="J120"/>
  <c r="L120" s="1"/>
  <c r="M120" s="1"/>
  <c r="J121"/>
  <c r="J122"/>
  <c r="K123"/>
  <c r="J123"/>
  <c r="J124"/>
  <c r="L124" s="1"/>
  <c r="M124" s="1"/>
  <c r="J125"/>
  <c r="L125" s="1"/>
  <c r="M125" s="1"/>
  <c r="J126"/>
  <c r="L126" s="1"/>
  <c r="M126" s="1"/>
  <c r="J128"/>
  <c r="L128" s="1"/>
  <c r="M128" s="1"/>
  <c r="J127"/>
  <c r="L127" s="1"/>
  <c r="M127" s="1"/>
  <c r="J129"/>
  <c r="K131"/>
  <c r="J131"/>
  <c r="K130"/>
  <c r="J130"/>
  <c r="J132"/>
  <c r="L132" s="1"/>
  <c r="M132" s="1"/>
  <c r="J133"/>
  <c r="L133" s="1"/>
  <c r="M133" s="1"/>
  <c r="J134"/>
  <c r="L134" s="1"/>
  <c r="M134" s="1"/>
  <c r="J135"/>
  <c r="L135" s="1"/>
  <c r="M135" s="1"/>
  <c r="J136"/>
  <c r="L136" s="1"/>
  <c r="M136" s="1"/>
  <c r="J137"/>
  <c r="L137" s="1"/>
  <c r="M137" s="1"/>
  <c r="J138"/>
  <c r="K139"/>
  <c r="J139"/>
  <c r="J140"/>
  <c r="L140" s="1"/>
  <c r="M140" s="1"/>
  <c r="J142"/>
  <c r="J141"/>
  <c r="K143"/>
  <c r="J143"/>
  <c r="J144"/>
  <c r="L144" s="1"/>
  <c r="M144" s="1"/>
  <c r="J145"/>
  <c r="L145" s="1"/>
  <c r="M145" s="1"/>
  <c r="J146"/>
  <c r="L146" s="1"/>
  <c r="M146" s="1"/>
  <c r="J147"/>
  <c r="L147" s="1"/>
  <c r="M147" s="1"/>
  <c r="J148"/>
  <c r="L148" s="1"/>
  <c r="M148" s="1"/>
  <c r="J149"/>
  <c r="L149" s="1"/>
  <c r="M149" s="1"/>
  <c r="J150"/>
  <c r="L150" s="1"/>
  <c r="M150" s="1"/>
  <c r="J151"/>
  <c r="L151" s="1"/>
  <c r="M151" s="1"/>
  <c r="J152"/>
  <c r="L152" s="1"/>
  <c r="M152" s="1"/>
  <c r="J11" i="2"/>
  <c r="L11" s="1"/>
  <c r="M11" s="1"/>
  <c r="J12"/>
  <c r="L12" s="1"/>
  <c r="M12" s="1"/>
  <c r="J13"/>
  <c r="L13" s="1"/>
  <c r="M13" s="1"/>
  <c r="J14"/>
  <c r="L14" s="1"/>
  <c r="M14" s="1"/>
  <c r="J153" i="1"/>
  <c r="L153" s="1"/>
  <c r="M153" s="1"/>
  <c r="J154"/>
  <c r="L154" s="1"/>
  <c r="M154" s="1"/>
  <c r="J15" i="2"/>
  <c r="L15" s="1"/>
  <c r="M15" s="1"/>
  <c r="J155" i="1"/>
  <c r="L155" s="1"/>
  <c r="M155" s="1"/>
  <c r="J156"/>
  <c r="L156" s="1"/>
  <c r="M156" s="1"/>
  <c r="J157"/>
  <c r="L157" s="1"/>
  <c r="M157" s="1"/>
  <c r="J158"/>
  <c r="K159"/>
  <c r="J159"/>
  <c r="K160"/>
  <c r="J160"/>
  <c r="J161"/>
  <c r="L161" s="1"/>
  <c r="M161" s="1"/>
  <c r="K16" i="2"/>
  <c r="J16"/>
  <c r="J162" i="1"/>
  <c r="L162" s="1"/>
  <c r="M162" s="1"/>
  <c r="J163"/>
  <c r="L163" s="1"/>
  <c r="M163" s="1"/>
  <c r="J17" i="2"/>
  <c r="L17" s="1"/>
  <c r="M17" s="1"/>
  <c r="J166" i="1"/>
  <c r="L166" s="1"/>
  <c r="M166" s="1"/>
  <c r="J164"/>
  <c r="L164" s="1"/>
  <c r="M164" s="1"/>
  <c r="J165"/>
  <c r="L165" s="1"/>
  <c r="M165" s="1"/>
  <c r="J167"/>
  <c r="L167" s="1"/>
  <c r="M167" s="1"/>
  <c r="J168"/>
  <c r="L168" s="1"/>
  <c r="M168" s="1"/>
  <c r="J18" i="2"/>
  <c r="L18" s="1"/>
  <c r="M18" s="1"/>
  <c r="J169" i="1"/>
  <c r="J170"/>
  <c r="K171"/>
  <c r="J171"/>
  <c r="J19" i="2"/>
  <c r="L19" s="1"/>
  <c r="M19" s="1"/>
  <c r="J172" i="1"/>
  <c r="K173"/>
  <c r="J173"/>
  <c r="J174"/>
  <c r="L174" s="1"/>
  <c r="M174" s="1"/>
  <c r="J175"/>
  <c r="L175" s="1"/>
  <c r="M175" s="1"/>
  <c r="K22" i="2"/>
  <c r="K20"/>
  <c r="J176" i="1"/>
  <c r="L176" s="1"/>
  <c r="M176" s="1"/>
  <c r="J177"/>
  <c r="J20" i="2"/>
  <c r="L20" s="1"/>
  <c r="M20" s="1"/>
  <c r="J21"/>
  <c r="L21" s="1"/>
  <c r="M21" s="1"/>
  <c r="J22"/>
  <c r="L22" s="1"/>
  <c r="M22" s="1"/>
  <c r="K178" i="1"/>
  <c r="J178"/>
  <c r="K179"/>
  <c r="J179"/>
  <c r="J180"/>
  <c r="L180" s="1"/>
  <c r="M180" s="1"/>
  <c r="J183"/>
  <c r="L183" s="1"/>
  <c r="M183" s="1"/>
  <c r="J23" i="2"/>
  <c r="L23" s="1"/>
  <c r="M23" s="1"/>
  <c r="J181" i="1"/>
  <c r="L181" s="1"/>
  <c r="M181" s="1"/>
  <c r="J182"/>
  <c r="L182" s="1"/>
  <c r="M182" s="1"/>
  <c r="J184"/>
  <c r="L184" s="1"/>
  <c r="M184" s="1"/>
  <c r="K185"/>
  <c r="J185"/>
  <c r="K186"/>
  <c r="J186"/>
  <c r="J187"/>
  <c r="J24" i="2"/>
  <c r="L24" s="1"/>
  <c r="M24" s="1"/>
  <c r="K188" i="1"/>
  <c r="J188"/>
  <c r="K31" i="2"/>
  <c r="J31"/>
  <c r="J30"/>
  <c r="L30" s="1"/>
  <c r="M30" s="1"/>
  <c r="J29"/>
  <c r="L29" s="1"/>
  <c r="M29" s="1"/>
  <c r="K28"/>
  <c r="J28"/>
  <c r="K27"/>
  <c r="J27"/>
  <c r="L27" s="1"/>
  <c r="M27" s="1"/>
  <c r="J26"/>
  <c r="L26" s="1"/>
  <c r="M26" s="1"/>
  <c r="J25"/>
  <c r="L25" s="1"/>
  <c r="M25" s="1"/>
  <c r="J189" i="1"/>
  <c r="L189" s="1"/>
  <c r="M189" s="1"/>
  <c r="J190"/>
  <c r="L190" s="1"/>
  <c r="M190" s="1"/>
  <c r="J191"/>
  <c r="L191" s="1"/>
  <c r="M191" s="1"/>
  <c r="J195"/>
  <c r="L195" s="1"/>
  <c r="M195" s="1"/>
  <c r="K193"/>
  <c r="J193"/>
  <c r="J192"/>
  <c r="L192" s="1"/>
  <c r="M192" s="1"/>
  <c r="J194"/>
  <c r="L194" s="1"/>
  <c r="M194" s="1"/>
  <c r="J196"/>
  <c r="L196" s="1"/>
  <c r="M196" s="1"/>
  <c r="J197"/>
  <c r="L197" s="1"/>
  <c r="M197" s="1"/>
  <c r="J198"/>
  <c r="L198" s="1"/>
  <c r="M198" s="1"/>
  <c r="J199"/>
  <c r="L199" s="1"/>
  <c r="M199" s="1"/>
  <c r="J200"/>
  <c r="L200" s="1"/>
  <c r="M200" s="1"/>
  <c r="J201"/>
  <c r="L201" s="1"/>
  <c r="M201" s="1"/>
  <c r="J202"/>
  <c r="L202" s="1"/>
  <c r="M202" s="1"/>
  <c r="J203"/>
  <c r="L203" s="1"/>
  <c r="M203" s="1"/>
  <c r="J204"/>
  <c r="L204" s="1"/>
  <c r="M204" s="1"/>
  <c r="K205"/>
  <c r="J205"/>
  <c r="J206"/>
  <c r="L206" s="1"/>
  <c r="M206" s="1"/>
  <c r="J210"/>
  <c r="J208"/>
  <c r="J207"/>
  <c r="K209"/>
  <c r="J209"/>
  <c r="K211"/>
  <c r="J211"/>
  <c r="J212"/>
  <c r="L212" s="1"/>
  <c r="M212" s="1"/>
  <c r="K214"/>
  <c r="J213"/>
  <c r="L213" s="1"/>
  <c r="M213" s="1"/>
  <c r="J214"/>
  <c r="J215"/>
  <c r="L215" s="1"/>
  <c r="M215" s="1"/>
  <c r="J216"/>
  <c r="J219"/>
  <c r="L219" s="1"/>
  <c r="M219" s="1"/>
  <c r="K217"/>
  <c r="J217"/>
  <c r="J218"/>
  <c r="K220"/>
  <c r="J220"/>
  <c r="J221"/>
  <c r="L221" s="1"/>
  <c r="M221" s="1"/>
  <c r="J222"/>
  <c r="L222" s="1"/>
  <c r="M222" s="1"/>
  <c r="J223"/>
  <c r="L223" s="1"/>
  <c r="M223" s="1"/>
  <c r="J225"/>
  <c r="L225" s="1"/>
  <c r="M225" s="1"/>
  <c r="K226"/>
  <c r="J226"/>
  <c r="J224"/>
  <c r="L224" s="1"/>
  <c r="M224" s="1"/>
  <c r="J227"/>
  <c r="K228"/>
  <c r="J228"/>
  <c r="J229"/>
  <c r="L229" s="1"/>
  <c r="M229" s="1"/>
  <c r="J230"/>
  <c r="L230" s="1"/>
  <c r="M230" s="1"/>
  <c r="J231"/>
  <c r="L231" s="1"/>
  <c r="M231" s="1"/>
  <c r="J232"/>
  <c r="L232" s="1"/>
  <c r="M232" s="1"/>
  <c r="J233"/>
  <c r="L233" s="1"/>
  <c r="M233" s="1"/>
  <c r="J234"/>
  <c r="L234" s="1"/>
  <c r="M234" s="1"/>
  <c r="J235"/>
  <c r="L235" s="1"/>
  <c r="M235" s="1"/>
  <c r="J237"/>
  <c r="J236"/>
  <c r="L236" s="1"/>
  <c r="M236" s="1"/>
  <c r="K238"/>
  <c r="J238"/>
  <c r="J239"/>
  <c r="L239" s="1"/>
  <c r="M239" s="1"/>
  <c r="J240"/>
  <c r="L240" s="1"/>
  <c r="M240" s="1"/>
  <c r="J241"/>
  <c r="K242"/>
  <c r="J242"/>
  <c r="J243"/>
  <c r="L243" s="1"/>
  <c r="M243" s="1"/>
  <c r="J244"/>
  <c r="J246"/>
  <c r="L246" s="1"/>
  <c r="M246" s="1"/>
  <c r="K245"/>
  <c r="J245"/>
  <c r="J247"/>
  <c r="L247" s="1"/>
  <c r="M247" s="1"/>
  <c r="J248"/>
  <c r="L248" s="1"/>
  <c r="M248" s="1"/>
  <c r="J249"/>
  <c r="L249" s="1"/>
  <c r="M249" s="1"/>
  <c r="J250"/>
  <c r="L250" s="1"/>
  <c r="M250" s="1"/>
  <c r="J251"/>
  <c r="L251" s="1"/>
  <c r="M251" s="1"/>
  <c r="J252"/>
  <c r="L252" s="1"/>
  <c r="M252" s="1"/>
  <c r="J253"/>
  <c r="L253" s="1"/>
  <c r="M253" s="1"/>
  <c r="J255"/>
  <c r="L255" s="1"/>
  <c r="M255" s="1"/>
  <c r="J254"/>
  <c r="L254" s="1"/>
  <c r="M254" s="1"/>
  <c r="J256"/>
  <c r="L256" s="1"/>
  <c r="M256" s="1"/>
  <c r="J257"/>
  <c r="L257" s="1"/>
  <c r="M257" s="1"/>
  <c r="J258"/>
  <c r="L258" s="1"/>
  <c r="M258" s="1"/>
  <c r="J259"/>
  <c r="L259" s="1"/>
  <c r="M259" s="1"/>
  <c r="J260"/>
  <c r="L260" s="1"/>
  <c r="M260" s="1"/>
  <c r="J261"/>
  <c r="L261" s="1"/>
  <c r="M261" s="1"/>
  <c r="J262"/>
  <c r="L262" s="1"/>
  <c r="M262" s="1"/>
  <c r="J264"/>
  <c r="L264" s="1"/>
  <c r="M264" s="1"/>
  <c r="J263"/>
  <c r="L263" s="1"/>
  <c r="M263" s="1"/>
  <c r="J267"/>
  <c r="L267" s="1"/>
  <c r="M267" s="1"/>
  <c r="J266"/>
  <c r="L266" s="1"/>
  <c r="M266" s="1"/>
  <c r="J268"/>
  <c r="L268" s="1"/>
  <c r="M268" s="1"/>
  <c r="J265"/>
  <c r="L265" s="1"/>
  <c r="M265" s="1"/>
  <c r="J269"/>
  <c r="L269" s="1"/>
  <c r="M269" s="1"/>
  <c r="J270"/>
  <c r="L270" s="1"/>
  <c r="M270" s="1"/>
  <c r="J271"/>
  <c r="K272"/>
  <c r="J272"/>
  <c r="J273"/>
  <c r="L273" s="1"/>
  <c r="M273" s="1"/>
  <c r="J274"/>
  <c r="L274" s="1"/>
  <c r="M274" s="1"/>
  <c r="J275"/>
  <c r="L275" s="1"/>
  <c r="M275" s="1"/>
  <c r="J276"/>
  <c r="L276" s="1"/>
  <c r="M276" s="1"/>
  <c r="J277"/>
  <c r="L277" s="1"/>
  <c r="M277" s="1"/>
  <c r="J278"/>
  <c r="L278" s="1"/>
  <c r="M278" s="1"/>
  <c r="J279"/>
  <c r="L279" s="1"/>
  <c r="M279" s="1"/>
  <c r="J280"/>
  <c r="L280" s="1"/>
  <c r="M280" s="1"/>
  <c r="J281"/>
  <c r="L281" s="1"/>
  <c r="M281" s="1"/>
  <c r="J282"/>
  <c r="K283"/>
  <c r="J283"/>
  <c r="K284"/>
  <c r="J284"/>
  <c r="K286"/>
  <c r="K285"/>
  <c r="J285"/>
  <c r="J286"/>
  <c r="K287"/>
  <c r="J287"/>
  <c r="J288"/>
  <c r="L288" s="1"/>
  <c r="M288" s="1"/>
  <c r="J289"/>
  <c r="J290"/>
  <c r="K291"/>
  <c r="J291"/>
  <c r="K292"/>
  <c r="J292"/>
  <c r="J293"/>
  <c r="L293" s="1"/>
  <c r="M293" s="1"/>
  <c r="J294"/>
  <c r="J295"/>
  <c r="K296"/>
  <c r="J296"/>
  <c r="J297"/>
  <c r="L297" s="1"/>
  <c r="M297" s="1"/>
  <c r="J298"/>
  <c r="L298" s="1"/>
  <c r="M298" s="1"/>
  <c r="J299"/>
  <c r="L299" s="1"/>
  <c r="M299" s="1"/>
  <c r="J300"/>
  <c r="L300" s="1"/>
  <c r="M300" s="1"/>
  <c r="J301"/>
  <c r="L301" s="1"/>
  <c r="M301" s="1"/>
  <c r="J302"/>
  <c r="L302" s="1"/>
  <c r="M302" s="1"/>
  <c r="J303"/>
  <c r="L303" s="1"/>
  <c r="M303" s="1"/>
  <c r="J304"/>
  <c r="L304" s="1"/>
  <c r="M304" s="1"/>
  <c r="J305"/>
  <c r="L305" s="1"/>
  <c r="M305" s="1"/>
  <c r="J306"/>
  <c r="L306" s="1"/>
  <c r="M306" s="1"/>
  <c r="J307"/>
  <c r="L307" s="1"/>
  <c r="M307" s="1"/>
  <c r="J308"/>
  <c r="L308" s="1"/>
  <c r="M308" s="1"/>
  <c r="J309"/>
  <c r="K310"/>
  <c r="J310"/>
  <c r="J311"/>
  <c r="L311" s="1"/>
  <c r="M311" s="1"/>
  <c r="J312"/>
  <c r="L312" s="1"/>
  <c r="M312" s="1"/>
  <c r="J313"/>
  <c r="L313" s="1"/>
  <c r="M313" s="1"/>
  <c r="J314"/>
  <c r="K315"/>
  <c r="J315"/>
  <c r="J316"/>
  <c r="L316" s="1"/>
  <c r="M316" s="1"/>
  <c r="J317"/>
  <c r="L317" s="1"/>
  <c r="M317" s="1"/>
  <c r="J318"/>
  <c r="L318" s="1"/>
  <c r="M318" s="1"/>
  <c r="J319"/>
  <c r="L319" s="1"/>
  <c r="M319" s="1"/>
  <c r="J320"/>
  <c r="L320" s="1"/>
  <c r="M320" s="1"/>
  <c r="J321"/>
  <c r="L321" s="1"/>
  <c r="K322"/>
  <c r="J326"/>
  <c r="L326" s="1"/>
  <c r="M326" s="1"/>
  <c r="J325"/>
  <c r="L325" s="1"/>
  <c r="M325" s="1"/>
  <c r="J324"/>
  <c r="L324" s="1"/>
  <c r="M324" s="1"/>
  <c r="J323"/>
  <c r="L323" s="1"/>
  <c r="M323" s="1"/>
  <c r="J322"/>
  <c r="J327"/>
  <c r="L327" s="1"/>
  <c r="M327" s="1"/>
  <c r="J328"/>
  <c r="L328" s="1"/>
  <c r="M328" s="1"/>
  <c r="J329"/>
  <c r="L329" s="1"/>
  <c r="M329" s="1"/>
  <c r="J330"/>
  <c r="L330" s="1"/>
  <c r="M330" s="1"/>
  <c r="J331"/>
  <c r="L331" s="1"/>
  <c r="M331" s="1"/>
  <c r="J332"/>
  <c r="L332" s="1"/>
  <c r="M332" s="1"/>
  <c r="J333"/>
  <c r="L333" s="1"/>
  <c r="M333" s="1"/>
  <c r="J334"/>
  <c r="K335"/>
  <c r="J335"/>
  <c r="J336"/>
  <c r="L336" s="1"/>
  <c r="M336" s="1"/>
  <c r="J337"/>
  <c r="L337" s="1"/>
  <c r="M337" s="1"/>
  <c r="J338"/>
  <c r="L338" s="1"/>
  <c r="M338" s="1"/>
  <c r="J339"/>
  <c r="L339" s="1"/>
  <c r="M339" s="1"/>
  <c r="J340"/>
  <c r="L340" s="1"/>
  <c r="M340" s="1"/>
  <c r="J341"/>
  <c r="L341" s="1"/>
  <c r="M341" s="1"/>
  <c r="K342"/>
  <c r="J343"/>
  <c r="L343" s="1"/>
  <c r="M343" s="1"/>
  <c r="J342"/>
  <c r="J344"/>
  <c r="L344" s="1"/>
  <c r="M344" s="1"/>
  <c r="J346"/>
  <c r="L346" s="1"/>
  <c r="M346" s="1"/>
  <c r="J345"/>
  <c r="L345" s="1"/>
  <c r="M345" s="1"/>
  <c r="J347"/>
  <c r="L347" s="1"/>
  <c r="M347" s="1"/>
  <c r="J348"/>
  <c r="L348" s="1"/>
  <c r="M348" s="1"/>
  <c r="J350"/>
  <c r="L350" s="1"/>
  <c r="M350" s="1"/>
  <c r="J349"/>
  <c r="L349" s="1"/>
  <c r="M349" s="1"/>
  <c r="J351"/>
  <c r="L351" s="1"/>
  <c r="M351" s="1"/>
  <c r="J352"/>
  <c r="L352" s="1"/>
  <c r="M352" s="1"/>
  <c r="J353"/>
  <c r="L353" s="1"/>
  <c r="K354"/>
  <c r="J354"/>
  <c r="J355"/>
  <c r="L355" s="1"/>
  <c r="M355" s="1"/>
  <c r="J356"/>
  <c r="L356" s="1"/>
  <c r="M356" s="1"/>
  <c r="J357"/>
  <c r="L357" s="1"/>
  <c r="M357" s="1"/>
  <c r="J358"/>
  <c r="L358" s="1"/>
  <c r="M358" s="1"/>
  <c r="J359"/>
  <c r="L359" s="1"/>
  <c r="M359" s="1"/>
  <c r="J360"/>
  <c r="L360" s="1"/>
  <c r="M360" s="1"/>
  <c r="J361"/>
  <c r="L361" s="1"/>
  <c r="M361" s="1"/>
  <c r="J362"/>
  <c r="L362" s="1"/>
  <c r="M362" s="1"/>
  <c r="J363"/>
  <c r="L363" s="1"/>
  <c r="M363" s="1"/>
  <c r="J364"/>
  <c r="L364" s="1"/>
  <c r="M364" s="1"/>
  <c r="J365"/>
  <c r="L365" s="1"/>
  <c r="M365" s="1"/>
  <c r="J366"/>
  <c r="L366" s="1"/>
  <c r="M366" s="1"/>
  <c r="J367"/>
  <c r="L367" s="1"/>
  <c r="M367" s="1"/>
  <c r="J368"/>
  <c r="L368" s="1"/>
  <c r="M368" s="1"/>
  <c r="J370"/>
  <c r="L370" s="1"/>
  <c r="M370" s="1"/>
  <c r="J369"/>
  <c r="L369" s="1"/>
  <c r="M369" s="1"/>
  <c r="J371"/>
  <c r="L371" s="1"/>
  <c r="M371" s="1"/>
  <c r="J373"/>
  <c r="L373" s="1"/>
  <c r="M373" s="1"/>
  <c r="J372"/>
  <c r="L372" s="1"/>
  <c r="M372" s="1"/>
  <c r="J375"/>
  <c r="L375" s="1"/>
  <c r="M375" s="1"/>
  <c r="J374"/>
  <c r="L374" s="1"/>
  <c r="M374" s="1"/>
  <c r="J376"/>
  <c r="L376" s="1"/>
  <c r="M376" s="1"/>
  <c r="J377"/>
  <c r="L377" s="1"/>
  <c r="M377" s="1"/>
  <c r="J379"/>
  <c r="L379" s="1"/>
  <c r="M379" s="1"/>
  <c r="J378"/>
  <c r="L378" s="1"/>
  <c r="M378" s="1"/>
  <c r="J380"/>
  <c r="L380" s="1"/>
  <c r="M380" s="1"/>
  <c r="J381"/>
  <c r="L381" s="1"/>
  <c r="M381" s="1"/>
  <c r="K382"/>
  <c r="J382"/>
  <c r="J383"/>
  <c r="L383" s="1"/>
  <c r="M383" s="1"/>
  <c r="J384"/>
  <c r="L384" s="1"/>
  <c r="M384" s="1"/>
  <c r="J385"/>
  <c r="L385" s="1"/>
  <c r="M385" s="1"/>
  <c r="J386"/>
  <c r="L386" s="1"/>
  <c r="M386" s="1"/>
  <c r="J387"/>
  <c r="L387" s="1"/>
  <c r="M387" s="1"/>
  <c r="J388"/>
  <c r="L388" s="1"/>
  <c r="M388" s="1"/>
  <c r="K389"/>
  <c r="J389"/>
  <c r="J390"/>
  <c r="L390" s="1"/>
  <c r="M390" s="1"/>
  <c r="K392"/>
  <c r="J392"/>
  <c r="L393"/>
  <c r="M393" s="1"/>
  <c r="J394"/>
  <c r="L394" s="1"/>
  <c r="M394" s="1"/>
  <c r="J395"/>
  <c r="L395" s="1"/>
  <c r="M395" s="1"/>
  <c r="J396"/>
  <c r="L396" s="1"/>
  <c r="M396" s="1"/>
  <c r="J397"/>
  <c r="K398"/>
  <c r="J398"/>
  <c r="K399"/>
  <c r="J399"/>
  <c r="L400"/>
  <c r="M400" s="1"/>
  <c r="J401"/>
  <c r="L401" s="1"/>
  <c r="M401" s="1"/>
  <c r="J402"/>
  <c r="L402" s="1"/>
  <c r="M402" s="1"/>
  <c r="L403"/>
  <c r="M403" s="1"/>
  <c r="J405"/>
  <c r="L405" s="1"/>
  <c r="M405" s="1"/>
  <c r="J404"/>
  <c r="L404" s="1"/>
  <c r="M404" s="1"/>
  <c r="L406"/>
  <c r="M406" s="1"/>
  <c r="L407"/>
  <c r="M407" s="1"/>
  <c r="L408"/>
  <c r="M408" s="1"/>
  <c r="J409"/>
  <c r="L409" s="1"/>
  <c r="M409" s="1"/>
  <c r="J412"/>
  <c r="L412" s="1"/>
  <c r="M412" s="1"/>
  <c r="J411"/>
  <c r="L411" s="1"/>
  <c r="M411" s="1"/>
  <c r="J410"/>
  <c r="L410" s="1"/>
  <c r="M410" s="1"/>
  <c r="J414"/>
  <c r="L414" s="1"/>
  <c r="M414" s="1"/>
  <c r="J413"/>
  <c r="L413" s="1"/>
  <c r="M413" s="1"/>
  <c r="L11" l="1"/>
  <c r="M11" s="1"/>
  <c r="L26"/>
  <c r="M26" s="1"/>
  <c r="L28"/>
  <c r="M28" s="1"/>
  <c r="L30"/>
  <c r="M30" s="1"/>
  <c r="L43"/>
  <c r="M43" s="1"/>
  <c r="L50"/>
  <c r="M50" s="1"/>
  <c r="L41"/>
  <c r="M41" s="1"/>
  <c r="L42"/>
  <c r="M42" s="1"/>
  <c r="L44"/>
  <c r="M44" s="1"/>
  <c r="L46"/>
  <c r="M46" s="1"/>
  <c r="L49"/>
  <c r="M49" s="1"/>
  <c r="L94"/>
  <c r="M94" s="1"/>
  <c r="L193"/>
  <c r="M193" s="1"/>
  <c r="L188"/>
  <c r="M188" s="1"/>
  <c r="L91"/>
  <c r="M91" s="1"/>
  <c r="L81"/>
  <c r="M81" s="1"/>
  <c r="L64"/>
  <c r="M64" s="1"/>
  <c r="L214"/>
  <c r="M214" s="1"/>
  <c r="L131"/>
  <c r="M131" s="1"/>
  <c r="L117"/>
  <c r="M117" s="1"/>
  <c r="L99"/>
  <c r="M99" s="1"/>
  <c r="L86"/>
  <c r="M86" s="1"/>
  <c r="L185"/>
  <c r="M185" s="1"/>
  <c r="L179"/>
  <c r="M179" s="1"/>
  <c r="L55"/>
  <c r="M55" s="1"/>
  <c r="L130"/>
  <c r="M130" s="1"/>
  <c r="L186"/>
  <c r="M186" s="1"/>
  <c r="L57"/>
  <c r="M57" s="1"/>
  <c r="L59"/>
  <c r="M59" s="1"/>
  <c r="L71"/>
  <c r="M71" s="1"/>
  <c r="L72"/>
  <c r="M72" s="1"/>
  <c r="L79"/>
  <c r="M79" s="1"/>
  <c r="L88"/>
  <c r="M88" s="1"/>
  <c r="L89"/>
  <c r="M89" s="1"/>
  <c r="L90"/>
  <c r="M90" s="1"/>
  <c r="L92"/>
  <c r="M92" s="1"/>
  <c r="L93"/>
  <c r="M93" s="1"/>
  <c r="L100"/>
  <c r="M100" s="1"/>
  <c r="L101"/>
  <c r="M101" s="1"/>
  <c r="L121"/>
  <c r="M121" s="1"/>
  <c r="L122"/>
  <c r="M122" s="1"/>
  <c r="L123"/>
  <c r="M123" s="1"/>
  <c r="L129"/>
  <c r="M129" s="1"/>
  <c r="L138"/>
  <c r="M138" s="1"/>
  <c r="L139"/>
  <c r="M139" s="1"/>
  <c r="L142"/>
  <c r="M142" s="1"/>
  <c r="L141"/>
  <c r="M141" s="1"/>
  <c r="L143"/>
  <c r="M143" s="1"/>
  <c r="L160"/>
  <c r="M160" s="1"/>
  <c r="L28" i="2"/>
  <c r="M28" s="1"/>
  <c r="L31"/>
  <c r="M31" s="1"/>
  <c r="L16"/>
  <c r="M16" s="1"/>
  <c r="L158" i="1"/>
  <c r="M158" s="1"/>
  <c r="L159"/>
  <c r="M159" s="1"/>
  <c r="L171"/>
  <c r="M171" s="1"/>
  <c r="L173"/>
  <c r="M173" s="1"/>
  <c r="L170"/>
  <c r="M170" s="1"/>
  <c r="L169"/>
  <c r="M169" s="1"/>
  <c r="L172"/>
  <c r="M172" s="1"/>
  <c r="L177"/>
  <c r="M177" s="1"/>
  <c r="L178"/>
  <c r="M178" s="1"/>
  <c r="L187"/>
  <c r="M187" s="1"/>
  <c r="L205"/>
  <c r="M205" s="1"/>
  <c r="L245"/>
  <c r="M245" s="1"/>
  <c r="L238"/>
  <c r="M238" s="1"/>
  <c r="L217"/>
  <c r="M217" s="1"/>
  <c r="L242"/>
  <c r="M242" s="1"/>
  <c r="L228"/>
  <c r="M228" s="1"/>
  <c r="L211"/>
  <c r="M211" s="1"/>
  <c r="L209"/>
  <c r="M209" s="1"/>
  <c r="L210"/>
  <c r="M210" s="1"/>
  <c r="L207"/>
  <c r="M207" s="1"/>
  <c r="L208"/>
  <c r="M208" s="1"/>
  <c r="L216"/>
  <c r="M216" s="1"/>
  <c r="L218"/>
  <c r="M218" s="1"/>
  <c r="L220"/>
  <c r="M220" s="1"/>
  <c r="L226"/>
  <c r="M226" s="1"/>
  <c r="L227"/>
  <c r="M227" s="1"/>
  <c r="L237"/>
  <c r="M237" s="1"/>
  <c r="L241"/>
  <c r="M241" s="1"/>
  <c r="L244"/>
  <c r="M244" s="1"/>
  <c r="L283"/>
  <c r="M283" s="1"/>
  <c r="L272"/>
  <c r="M272" s="1"/>
  <c r="L271"/>
  <c r="M271" s="1"/>
  <c r="L315"/>
  <c r="M315" s="1"/>
  <c r="L292"/>
  <c r="M292" s="1"/>
  <c r="L285"/>
  <c r="M285" s="1"/>
  <c r="L282"/>
  <c r="M282" s="1"/>
  <c r="L284"/>
  <c r="M284" s="1"/>
  <c r="L286"/>
  <c r="M286" s="1"/>
  <c r="L287"/>
  <c r="M287" s="1"/>
  <c r="L289"/>
  <c r="M289" s="1"/>
  <c r="L290"/>
  <c r="M290" s="1"/>
  <c r="L291"/>
  <c r="M291" s="1"/>
  <c r="L296"/>
  <c r="M296" s="1"/>
  <c r="L294"/>
  <c r="M294" s="1"/>
  <c r="L295"/>
  <c r="M295" s="1"/>
  <c r="L309"/>
  <c r="M309" s="1"/>
  <c r="L310"/>
  <c r="M310" s="1"/>
  <c r="L314"/>
  <c r="M314" s="1"/>
  <c r="M321"/>
  <c r="L322"/>
  <c r="M322" s="1"/>
  <c r="L334"/>
  <c r="M334" s="1"/>
  <c r="L335"/>
  <c r="M335" s="1"/>
  <c r="L342"/>
  <c r="M342" s="1"/>
  <c r="M353"/>
  <c r="L354"/>
  <c r="M354" s="1"/>
  <c r="L382"/>
  <c r="M382" s="1"/>
  <c r="L389"/>
  <c r="M389" s="1"/>
  <c r="L391"/>
  <c r="M391" s="1"/>
  <c r="L392"/>
  <c r="M392" s="1"/>
  <c r="L397"/>
  <c r="M397" s="1"/>
  <c r="L398"/>
  <c r="M398" s="1"/>
  <c r="L399"/>
  <c r="M399" s="1"/>
  <c r="J415"/>
  <c r="L415" s="1"/>
  <c r="M415" s="1"/>
  <c r="J416"/>
  <c r="L416" s="1"/>
  <c r="M416" s="1"/>
  <c r="K467"/>
  <c r="K465"/>
  <c r="K464"/>
  <c r="K452"/>
  <c r="K447"/>
  <c r="J468"/>
  <c r="L468" s="1"/>
  <c r="M468" s="1"/>
  <c r="J467"/>
  <c r="J466"/>
  <c r="L466" s="1"/>
  <c r="M466" s="1"/>
  <c r="J465"/>
  <c r="J464"/>
  <c r="J463"/>
  <c r="L463" s="1"/>
  <c r="M463" s="1"/>
  <c r="J462"/>
  <c r="L462" s="1"/>
  <c r="M462" s="1"/>
  <c r="J461"/>
  <c r="L461" s="1"/>
  <c r="M461" s="1"/>
  <c r="J460"/>
  <c r="L460" s="1"/>
  <c r="M460" s="1"/>
  <c r="J459"/>
  <c r="L459" s="1"/>
  <c r="M459" s="1"/>
  <c r="J458"/>
  <c r="L458" s="1"/>
  <c r="M458" s="1"/>
  <c r="J457"/>
  <c r="L457" s="1"/>
  <c r="M457" s="1"/>
  <c r="J456"/>
  <c r="L456" s="1"/>
  <c r="M456" s="1"/>
  <c r="J455"/>
  <c r="L455" s="1"/>
  <c r="M455" s="1"/>
  <c r="J454"/>
  <c r="L454" s="1"/>
  <c r="M454" s="1"/>
  <c r="J453"/>
  <c r="L453" s="1"/>
  <c r="M453" s="1"/>
  <c r="J452"/>
  <c r="J451"/>
  <c r="L451" s="1"/>
  <c r="M451" s="1"/>
  <c r="J450"/>
  <c r="L450" s="1"/>
  <c r="M450" s="1"/>
  <c r="J449"/>
  <c r="L449" s="1"/>
  <c r="M449" s="1"/>
  <c r="J448"/>
  <c r="L448" s="1"/>
  <c r="M448" s="1"/>
  <c r="J447"/>
  <c r="J446"/>
  <c r="L446" s="1"/>
  <c r="M446" s="1"/>
  <c r="J445"/>
  <c r="L445" s="1"/>
  <c r="M445" s="1"/>
  <c r="J444"/>
  <c r="L444" s="1"/>
  <c r="M444" s="1"/>
  <c r="J443"/>
  <c r="L443" s="1"/>
  <c r="M443" s="1"/>
  <c r="J442"/>
  <c r="L442" s="1"/>
  <c r="M442" s="1"/>
  <c r="J441"/>
  <c r="L441" s="1"/>
  <c r="M441" s="1"/>
  <c r="J440"/>
  <c r="L440" s="1"/>
  <c r="M440" s="1"/>
  <c r="J439"/>
  <c r="L439" s="1"/>
  <c r="M439" s="1"/>
  <c r="J438"/>
  <c r="L438" s="1"/>
  <c r="M438" s="1"/>
  <c r="J437"/>
  <c r="L437" s="1"/>
  <c r="M437" s="1"/>
  <c r="J436"/>
  <c r="L436" s="1"/>
  <c r="M436" s="1"/>
  <c r="J435"/>
  <c r="L435" s="1"/>
  <c r="M435" s="1"/>
  <c r="J434"/>
  <c r="L434" s="1"/>
  <c r="M434" s="1"/>
  <c r="J433"/>
  <c r="L433" s="1"/>
  <c r="M433" s="1"/>
  <c r="J432"/>
  <c r="L432" s="1"/>
  <c r="M432" s="1"/>
  <c r="J431"/>
  <c r="L431" s="1"/>
  <c r="M431" s="1"/>
  <c r="J430"/>
  <c r="L430" s="1"/>
  <c r="M430" s="1"/>
  <c r="J429"/>
  <c r="L429" s="1"/>
  <c r="M429" s="1"/>
  <c r="J428"/>
  <c r="L428" s="1"/>
  <c r="M428" s="1"/>
  <c r="J427"/>
  <c r="L427" s="1"/>
  <c r="M427" s="1"/>
  <c r="J426"/>
  <c r="L426" s="1"/>
  <c r="M426" s="1"/>
  <c r="J425"/>
  <c r="L425" s="1"/>
  <c r="M425" s="1"/>
  <c r="J424"/>
  <c r="L424" s="1"/>
  <c r="M424" s="1"/>
  <c r="J423"/>
  <c r="L423" s="1"/>
  <c r="M423" s="1"/>
  <c r="J422"/>
  <c r="L422" s="1"/>
  <c r="M422" s="1"/>
  <c r="J421"/>
  <c r="L421" s="1"/>
  <c r="M421" s="1"/>
  <c r="J420"/>
  <c r="L420" s="1"/>
  <c r="M420" s="1"/>
  <c r="J419"/>
  <c r="L419" s="1"/>
  <c r="M419" s="1"/>
  <c r="J418"/>
  <c r="L418" s="1"/>
  <c r="M418" s="1"/>
  <c r="J417"/>
  <c r="L417" s="1"/>
  <c r="M417" s="1"/>
  <c r="L452" l="1"/>
  <c r="M452" s="1"/>
  <c r="L447"/>
  <c r="M447" s="1"/>
  <c r="L464"/>
  <c r="M464" s="1"/>
  <c r="L465"/>
  <c r="M465" s="1"/>
  <c r="L467"/>
  <c r="M467" s="1"/>
  <c r="J473" l="1"/>
  <c r="L473" s="1"/>
  <c r="M473" s="1"/>
  <c r="J470"/>
  <c r="J469"/>
  <c r="L469" s="1"/>
  <c r="M469" s="1"/>
  <c r="K471"/>
  <c r="J471"/>
  <c r="J472"/>
  <c r="K474"/>
  <c r="J474"/>
  <c r="J475"/>
  <c r="L475" s="1"/>
  <c r="M475" s="1"/>
  <c r="J476"/>
  <c r="L476" s="1"/>
  <c r="M476" s="1"/>
  <c r="J477"/>
  <c r="K478"/>
  <c r="J478"/>
  <c r="J479"/>
  <c r="L479" s="1"/>
  <c r="M479" s="1"/>
  <c r="J480"/>
  <c r="L480" s="1"/>
  <c r="M480" s="1"/>
  <c r="K481"/>
  <c r="J481"/>
  <c r="J482"/>
  <c r="K483"/>
  <c r="J483"/>
  <c r="J484"/>
  <c r="K485"/>
  <c r="K486"/>
  <c r="K487"/>
  <c r="J486"/>
  <c r="J487"/>
  <c r="K498"/>
  <c r="K500"/>
  <c r="J501"/>
  <c r="L501" s="1"/>
  <c r="M501" s="1"/>
  <c r="L486" l="1"/>
  <c r="M486" s="1"/>
  <c r="L474"/>
  <c r="M474" s="1"/>
  <c r="L487"/>
  <c r="M487" s="1"/>
  <c r="L478"/>
  <c r="M478" s="1"/>
  <c r="L470"/>
  <c r="M470" s="1"/>
  <c r="L471"/>
  <c r="M471" s="1"/>
  <c r="L472"/>
  <c r="M472" s="1"/>
  <c r="L477"/>
  <c r="M477" s="1"/>
  <c r="L481"/>
  <c r="M481" s="1"/>
  <c r="L482"/>
  <c r="M482" s="1"/>
  <c r="L483"/>
  <c r="M483" s="1"/>
  <c r="L484"/>
  <c r="M484" s="1"/>
  <c r="L485"/>
  <c r="M485" s="1"/>
  <c r="K492"/>
  <c r="L492" s="1"/>
  <c r="M492" s="1"/>
  <c r="J488"/>
  <c r="L488" s="1"/>
  <c r="M488" s="1"/>
  <c r="J489"/>
  <c r="L489" s="1"/>
  <c r="M489" s="1"/>
  <c r="J490"/>
  <c r="L490" s="1"/>
  <c r="M490" s="1"/>
  <c r="J491"/>
  <c r="L491" s="1"/>
  <c r="M491" s="1"/>
  <c r="J493"/>
  <c r="L493" s="1"/>
  <c r="M493" s="1"/>
  <c r="J494"/>
  <c r="L494" s="1"/>
  <c r="M494" s="1"/>
  <c r="J495"/>
  <c r="L495" s="1"/>
  <c r="M495" s="1"/>
  <c r="J496"/>
  <c r="L496" s="1"/>
  <c r="M496" s="1"/>
  <c r="L497"/>
  <c r="M497" s="1"/>
  <c r="J498"/>
  <c r="L498" s="1"/>
  <c r="M498" s="1"/>
  <c r="J499"/>
  <c r="L499" s="1"/>
  <c r="M499" s="1"/>
  <c r="J500"/>
  <c r="L500" s="1"/>
  <c r="M500" s="1"/>
  <c r="L502"/>
  <c r="M502" s="1"/>
  <c r="J503"/>
  <c r="L503" s="1"/>
  <c r="M503" s="1"/>
  <c r="J504"/>
  <c r="L504" s="1"/>
  <c r="M504" s="1"/>
</calcChain>
</file>

<file path=xl/sharedStrings.xml><?xml version="1.0" encoding="utf-8"?>
<sst xmlns="http://schemas.openxmlformats.org/spreadsheetml/2006/main" count="1583" uniqueCount="212">
  <si>
    <t>WE CALCULATE YOUR RISK AND REWARD AND GIVE YOU MAXIMUM RETURNS</t>
  </si>
  <si>
    <t>TRACK RECORD</t>
  </si>
  <si>
    <t>DATE</t>
  </si>
  <si>
    <t>SCRIPT</t>
  </si>
  <si>
    <t>CALL/PUT</t>
  </si>
  <si>
    <t>STRICK PRICE</t>
  </si>
  <si>
    <t>LOT</t>
  </si>
  <si>
    <t>RECO</t>
  </si>
  <si>
    <t>RATE</t>
  </si>
  <si>
    <t>BOOKED AT 1</t>
  </si>
  <si>
    <t>BOOKED AT 2</t>
  </si>
  <si>
    <t>P1</t>
  </si>
  <si>
    <t>P2</t>
  </si>
  <si>
    <t>TOTAL POINTS</t>
  </si>
  <si>
    <t>PUT</t>
  </si>
  <si>
    <t>BUY</t>
  </si>
  <si>
    <t>CALL</t>
  </si>
  <si>
    <t>DLF</t>
  </si>
  <si>
    <t>P &amp; L</t>
  </si>
  <si>
    <t>L&amp;T</t>
  </si>
  <si>
    <t>JUBLFOOD </t>
  </si>
  <si>
    <t>VEDL </t>
  </si>
  <si>
    <r>
      <rPr>
        <b/>
        <sz val="12"/>
        <color indexed="57"/>
        <rFont val="Agency FB"/>
        <family val="2"/>
      </rPr>
      <t>Paramount Research Services</t>
    </r>
    <r>
      <rPr>
        <b/>
        <sz val="12"/>
        <color indexed="8"/>
        <rFont val="Agency FB"/>
        <family val="2"/>
      </rPr>
      <t xml:space="preserve"> </t>
    </r>
  </si>
  <si>
    <t>PCJEWELLER </t>
  </si>
  <si>
    <t>NIITTECH</t>
  </si>
  <si>
    <t>HDFC</t>
  </si>
  <si>
    <t>TECHM </t>
  </si>
  <si>
    <t>UJJIVEN </t>
  </si>
  <si>
    <t> M&amp;M</t>
  </si>
  <si>
    <t>JINDALSTEL </t>
  </si>
  <si>
    <t>HEXAWARE </t>
  </si>
  <si>
    <t>SRTRANSGFIN </t>
  </si>
  <si>
    <t>RELINFRA </t>
  </si>
  <si>
    <t>INDIAN BANK</t>
  </si>
  <si>
    <t>JSWSTEEL </t>
  </si>
  <si>
    <t>ADANIPORTS </t>
  </si>
  <si>
    <t>JAINIRRIGATION </t>
  </si>
  <si>
    <t>DLF </t>
  </si>
  <si>
    <t>HINDZINC </t>
  </si>
  <si>
    <t>DCB BANK </t>
  </si>
  <si>
    <t>UNIONBANK </t>
  </si>
  <si>
    <t>BANK BARODA</t>
  </si>
  <si>
    <t>M&amp;MFIN </t>
  </si>
  <si>
    <t>MINDTREE </t>
  </si>
  <si>
    <t>IRB </t>
  </si>
  <si>
    <t>ADNAIENT </t>
  </si>
  <si>
    <t>SUNTV </t>
  </si>
  <si>
    <t>HAVELLS</t>
  </si>
  <si>
    <t>AXISBANK</t>
  </si>
  <si>
    <t>TATASTEEL</t>
  </si>
  <si>
    <t>SUNPHARMA</t>
  </si>
  <si>
    <t>RELCAPITAL </t>
  </si>
  <si>
    <t>TITAN </t>
  </si>
  <si>
    <t>ZEEL</t>
  </si>
  <si>
    <t>BHARATFIN </t>
  </si>
  <si>
    <t>INFY</t>
  </si>
  <si>
    <t>BPCL </t>
  </si>
  <si>
    <t>ARVIND </t>
  </si>
  <si>
    <t>APOLLOTYRE</t>
  </si>
  <si>
    <t>BAJAJFINANCE</t>
  </si>
  <si>
    <t>BAJAJFINANCE </t>
  </si>
  <si>
    <t>M&amp;MFIN</t>
  </si>
  <si>
    <t>L&amp;TFIN</t>
  </si>
  <si>
    <t>ENGINERSIN</t>
  </si>
  <si>
    <t>BAAJAJAUTO</t>
  </si>
  <si>
    <t>MINDTREE</t>
  </si>
  <si>
    <t>KSCL</t>
  </si>
  <si>
    <t>BALRAMPERCHINI</t>
  </si>
  <si>
    <t>DRREDDY</t>
  </si>
  <si>
    <t>HEROMOTOCORP</t>
  </si>
  <si>
    <t>CENTURYTEX</t>
  </si>
  <si>
    <t>RELCAPITAL</t>
  </si>
  <si>
    <t>BPCL</t>
  </si>
  <si>
    <t>JSWSTEEL</t>
  </si>
  <si>
    <t>BEML</t>
  </si>
  <si>
    <t>JUBLFOOD</t>
  </si>
  <si>
    <t>TATAELEXI</t>
  </si>
  <si>
    <t>INDUSINDBANK</t>
  </si>
  <si>
    <t>SRF</t>
  </si>
  <si>
    <t>NIITTECH </t>
  </si>
  <si>
    <t>KPIT </t>
  </si>
  <si>
    <t>CHENNPETRO </t>
  </si>
  <si>
    <t>ICICIBANK</t>
  </si>
  <si>
    <t>BHARTIAIRTEL</t>
  </si>
  <si>
    <t>SBIN</t>
  </si>
  <si>
    <t>MCDOWELL-N</t>
  </si>
  <si>
    <t>AMBUJACEM</t>
  </si>
  <si>
    <t>BATAINDIA</t>
  </si>
  <si>
    <t>UBL</t>
  </si>
  <si>
    <t>HINDALCO</t>
  </si>
  <si>
    <t>PFC</t>
  </si>
  <si>
    <t>ADANIPOWER</t>
  </si>
  <si>
    <t xml:space="preserve">ZEEL </t>
  </si>
  <si>
    <t>NCC</t>
  </si>
  <si>
    <t>INDIGO</t>
  </si>
  <si>
    <t>RECLTD</t>
  </si>
  <si>
    <t>AUROPHARMA</t>
  </si>
  <si>
    <t>BIOCON</t>
  </si>
  <si>
    <t>RAYMOND</t>
  </si>
  <si>
    <t>HCLTECH</t>
  </si>
  <si>
    <t>ITC</t>
  </si>
  <si>
    <t>HEROMOTOCO</t>
  </si>
  <si>
    <t>JUSTDIAL</t>
  </si>
  <si>
    <t>L&amp;TFH</t>
  </si>
  <si>
    <t>CANBANK</t>
  </si>
  <si>
    <t>GRASIM</t>
  </si>
  <si>
    <t>CANBK</t>
  </si>
  <si>
    <t xml:space="preserve">CALL </t>
  </si>
  <si>
    <t>PNB</t>
  </si>
  <si>
    <t xml:space="preserve">MOTHERSUMI </t>
  </si>
  <si>
    <t>ADANIPORTS</t>
  </si>
  <si>
    <t>YESBANK</t>
  </si>
  <si>
    <t>IOC</t>
  </si>
  <si>
    <t xml:space="preserve">JSWSTEEL </t>
  </si>
  <si>
    <t>ADANIENT</t>
  </si>
  <si>
    <t>UPL</t>
  </si>
  <si>
    <t>VEDL</t>
  </si>
  <si>
    <t>LUPIN</t>
  </si>
  <si>
    <t>RBLBANK</t>
  </si>
  <si>
    <t>GAIL</t>
  </si>
  <si>
    <t>GLENMARK</t>
  </si>
  <si>
    <t>BAJFINANCE</t>
  </si>
  <si>
    <t xml:space="preserve">ASHOKLEY </t>
  </si>
  <si>
    <t xml:space="preserve">PUT </t>
  </si>
  <si>
    <t>TATAMOTORS</t>
  </si>
  <si>
    <t>TATAGLOBAL</t>
  </si>
  <si>
    <t>TCS</t>
  </si>
  <si>
    <t>IBULHSGFIN</t>
  </si>
  <si>
    <t>COALINDIA</t>
  </si>
  <si>
    <t>M&amp;M</t>
  </si>
  <si>
    <t>BHARTIARTL</t>
  </si>
  <si>
    <t>IGL</t>
  </si>
  <si>
    <t>MARICO</t>
  </si>
  <si>
    <t>MCDOWELL</t>
  </si>
  <si>
    <t>LICHSGFIN</t>
  </si>
  <si>
    <t>GODREJCP</t>
  </si>
  <si>
    <t>RELINACE</t>
  </si>
  <si>
    <t>BHEL</t>
  </si>
  <si>
    <t xml:space="preserve">RELIANCE </t>
  </si>
  <si>
    <t>ICICPRULI</t>
  </si>
  <si>
    <t>INFRATEL</t>
  </si>
  <si>
    <t>BAJAJ-AUTO</t>
  </si>
  <si>
    <t xml:space="preserve">HDFCBANK </t>
  </si>
  <si>
    <t xml:space="preserve">JUBLFOOD </t>
  </si>
  <si>
    <t>ICICIPRULI</t>
  </si>
  <si>
    <t>HINDPETRO</t>
  </si>
  <si>
    <t>HDFCBANNK</t>
  </si>
  <si>
    <t xml:space="preserve">DLF </t>
  </si>
  <si>
    <t xml:space="preserve">ICICIABNK </t>
  </si>
  <si>
    <t xml:space="preserve">BANKBARODA </t>
  </si>
  <si>
    <t xml:space="preserve">KOTAKABNK </t>
  </si>
  <si>
    <t xml:space="preserve">TITAN </t>
  </si>
  <si>
    <t xml:space="preserve">MUTHOOTFIN </t>
  </si>
  <si>
    <t>ASIANPAINT</t>
  </si>
  <si>
    <t xml:space="preserve">MANAPPURAM </t>
  </si>
  <si>
    <t>KOTAKBANK</t>
  </si>
  <si>
    <t>HDFCBANK</t>
  </si>
  <si>
    <t>SAIL</t>
  </si>
  <si>
    <t xml:space="preserve">UJJIVAN </t>
  </si>
  <si>
    <t xml:space="preserve">ITC </t>
  </si>
  <si>
    <t xml:space="preserve">BAJFINSV </t>
  </si>
  <si>
    <t>NTPC</t>
  </si>
  <si>
    <t>SIEMENS</t>
  </si>
  <si>
    <t>POWERGRID</t>
  </si>
  <si>
    <t>MGL</t>
  </si>
  <si>
    <t>BAJAJFINSERV</t>
  </si>
  <si>
    <t>DABUR</t>
  </si>
  <si>
    <t xml:space="preserve">BAJFINANCE </t>
  </si>
  <si>
    <t xml:space="preserve">CHOLAFIN </t>
  </si>
  <si>
    <t>APOLLOHOSP</t>
  </si>
  <si>
    <t>UJJIAVN</t>
  </si>
  <si>
    <r>
      <rPr>
        <b/>
        <sz val="11"/>
        <color indexed="57"/>
        <rFont val="Agency FB"/>
        <family val="2"/>
      </rPr>
      <t>Paraamount Reaserch Services</t>
    </r>
    <r>
      <rPr>
        <b/>
        <sz val="11"/>
        <color indexed="8"/>
        <rFont val="Agency FB"/>
        <family val="2"/>
      </rPr>
      <t xml:space="preserve"> </t>
    </r>
  </si>
  <si>
    <t>WE WORK FOR YOU !!!</t>
  </si>
  <si>
    <t>Profit &amp; Loss</t>
  </si>
  <si>
    <t xml:space="preserve">ICICIBANK </t>
  </si>
  <si>
    <t>BAJAJAUTO</t>
  </si>
  <si>
    <t>HINDUNILVER</t>
  </si>
  <si>
    <t>STRRANFIN</t>
  </si>
  <si>
    <t>DIVISLAB</t>
  </si>
  <si>
    <t xml:space="preserve">BIOCON </t>
  </si>
  <si>
    <t>HDFCLIFE</t>
  </si>
  <si>
    <t>RELIANCE</t>
  </si>
  <si>
    <t xml:space="preserve">DIVISLAB </t>
  </si>
  <si>
    <t>MUTOOTFIN</t>
  </si>
  <si>
    <t>TATACONSUM</t>
  </si>
  <si>
    <t>VOLTAS</t>
  </si>
  <si>
    <t>CIPLA</t>
  </si>
  <si>
    <t>BHRTIARTL</t>
  </si>
  <si>
    <t xml:space="preserve">ADANIPORTS </t>
  </si>
  <si>
    <t xml:space="preserve">AUROPHARMA </t>
  </si>
  <si>
    <t>BAJFINACE</t>
  </si>
  <si>
    <t>BHATIARTL</t>
  </si>
  <si>
    <t>ESCORTS</t>
  </si>
  <si>
    <t>MUTHHOTFIN</t>
  </si>
  <si>
    <t>TORNTPHARM</t>
  </si>
  <si>
    <t>APOLLOHOP</t>
  </si>
  <si>
    <t>NAUKRI</t>
  </si>
  <si>
    <t>BRITANNIA</t>
  </si>
  <si>
    <t xml:space="preserve">AXISBANK </t>
  </si>
  <si>
    <t>ONGC</t>
  </si>
  <si>
    <t>SBILIFE</t>
  </si>
  <si>
    <t xml:space="preserve">KOTAKBANK </t>
  </si>
  <si>
    <t>NIITECH</t>
  </si>
  <si>
    <t>BERGEPAINT</t>
  </si>
  <si>
    <t>AISNPAINT</t>
  </si>
  <si>
    <t>BALKRISIND</t>
  </si>
  <si>
    <t>WIPRO</t>
  </si>
  <si>
    <t>ACC</t>
  </si>
  <si>
    <t>COFORGE</t>
  </si>
  <si>
    <t xml:space="preserve">MGL </t>
  </si>
  <si>
    <t xml:space="preserve">TATAMOTORS </t>
  </si>
  <si>
    <t>NMDC</t>
  </si>
</sst>
</file>

<file path=xl/styles.xml><?xml version="1.0" encoding="utf-8"?>
<styleSheet xmlns="http://schemas.openxmlformats.org/spreadsheetml/2006/main">
  <numFmts count="2">
    <numFmt numFmtId="164" formatCode="0.00;[Red]\-0.00"/>
    <numFmt numFmtId="165" formatCode="[$-409]d\-mmm\-yy;@"/>
  </numFmts>
  <fonts count="22">
    <font>
      <sz val="11"/>
      <color theme="1"/>
      <name val="Calibri"/>
      <family val="2"/>
      <scheme val="minor"/>
    </font>
    <font>
      <sz val="12"/>
      <color indexed="8"/>
      <name val="Agency FB"/>
      <family val="2"/>
    </font>
    <font>
      <b/>
      <sz val="12"/>
      <color indexed="8"/>
      <name val="Agency FB"/>
      <family val="2"/>
    </font>
    <font>
      <b/>
      <sz val="12"/>
      <color indexed="57"/>
      <name val="Agency FB"/>
      <family val="2"/>
    </font>
    <font>
      <b/>
      <sz val="12"/>
      <color rgb="FFFF0000"/>
      <name val="Agency FB"/>
      <family val="2"/>
    </font>
    <font>
      <b/>
      <sz val="12"/>
      <color indexed="30"/>
      <name val="Agency FB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1"/>
      <color indexed="8"/>
      <name val="Agency FB"/>
      <family val="2"/>
    </font>
    <font>
      <b/>
      <sz val="11"/>
      <color indexed="8"/>
      <name val="Agency FB"/>
      <family val="2"/>
    </font>
    <font>
      <b/>
      <sz val="11"/>
      <color indexed="57"/>
      <name val="Agency FB"/>
      <family val="2"/>
    </font>
    <font>
      <b/>
      <sz val="11"/>
      <color rgb="FFFF0000"/>
      <name val="Agency FB"/>
      <family val="2"/>
    </font>
    <font>
      <b/>
      <sz val="11"/>
      <color indexed="30"/>
      <name val="Agency FB"/>
      <family val="2"/>
    </font>
    <font>
      <b/>
      <sz val="11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  <family val="2"/>
      <charset val="1"/>
      <scheme val="minor"/>
    </font>
    <font>
      <sz val="1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 style="thin">
        <color indexed="31"/>
      </left>
      <right/>
      <top/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116">
    <xf numFmtId="0" fontId="0" fillId="0" borderId="0" xfId="0"/>
    <xf numFmtId="0" fontId="0" fillId="0" borderId="1" xfId="0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5" borderId="0" xfId="0" applyFont="1" applyFill="1" applyBorder="1"/>
    <xf numFmtId="0" fontId="0" fillId="5" borderId="0" xfId="0" applyFont="1" applyFill="1"/>
    <xf numFmtId="0" fontId="10" fillId="0" borderId="0" xfId="0" applyFont="1"/>
    <xf numFmtId="164" fontId="11" fillId="0" borderId="0" xfId="0" applyNumberFormat="1" applyFont="1" applyFill="1" applyBorder="1" applyAlignment="1">
      <alignment horizontal="center"/>
    </xf>
    <xf numFmtId="0" fontId="10" fillId="0" borderId="0" xfId="0" applyFont="1" applyBorder="1"/>
    <xf numFmtId="165" fontId="0" fillId="0" borderId="0" xfId="0" applyNumberFormat="1"/>
    <xf numFmtId="0" fontId="6" fillId="5" borderId="1" xfId="0" applyNumberFormat="1" applyFont="1" applyFill="1" applyBorder="1" applyAlignment="1">
      <alignment horizontal="center" vertical="center"/>
    </xf>
    <xf numFmtId="0" fontId="6" fillId="5" borderId="4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/>
    <xf numFmtId="0" fontId="15" fillId="2" borderId="16" xfId="0" applyFont="1" applyFill="1" applyBorder="1" applyAlignment="1">
      <alignment horizontal="center"/>
    </xf>
    <xf numFmtId="0" fontId="0" fillId="0" borderId="9" xfId="0" applyFont="1" applyBorder="1"/>
    <xf numFmtId="0" fontId="15" fillId="2" borderId="19" xfId="0" applyFont="1" applyFill="1" applyBorder="1" applyAlignment="1">
      <alignment horizontal="center"/>
    </xf>
    <xf numFmtId="14" fontId="17" fillId="5" borderId="1" xfId="0" applyNumberFormat="1" applyFont="1" applyFill="1" applyBorder="1" applyAlignment="1">
      <alignment horizontal="center" vertical="center"/>
    </xf>
    <xf numFmtId="0" fontId="17" fillId="5" borderId="1" xfId="0" applyNumberFormat="1" applyFont="1" applyFill="1" applyBorder="1" applyAlignment="1">
      <alignment horizontal="center" vertical="center"/>
    </xf>
    <xf numFmtId="0" fontId="17" fillId="5" borderId="4" xfId="0" applyNumberFormat="1" applyFont="1" applyFill="1" applyBorder="1" applyAlignment="1">
      <alignment horizontal="center" vertical="center"/>
    </xf>
    <xf numFmtId="0" fontId="18" fillId="5" borderId="4" xfId="0" applyNumberFormat="1" applyFont="1" applyFill="1" applyBorder="1" applyAlignment="1">
      <alignment horizontal="center" vertical="center"/>
    </xf>
    <xf numFmtId="1" fontId="17" fillId="5" borderId="1" xfId="0" applyNumberFormat="1" applyFont="1" applyFill="1" applyBorder="1" applyAlignment="1">
      <alignment horizontal="center" vertical="center"/>
    </xf>
    <xf numFmtId="2" fontId="17" fillId="5" borderId="1" xfId="0" applyNumberFormat="1" applyFont="1" applyFill="1" applyBorder="1" applyAlignment="1">
      <alignment horizontal="center" vertical="center"/>
    </xf>
    <xf numFmtId="0" fontId="17" fillId="5" borderId="16" xfId="0" applyNumberFormat="1" applyFont="1" applyFill="1" applyBorder="1" applyAlignment="1">
      <alignment horizontal="center" vertical="center"/>
    </xf>
    <xf numFmtId="0" fontId="0" fillId="0" borderId="0" xfId="0" applyFont="1" applyFill="1"/>
    <xf numFmtId="15" fontId="9" fillId="4" borderId="1" xfId="0" applyNumberFormat="1" applyFont="1" applyFill="1" applyBorder="1" applyAlignment="1">
      <alignment horizontal="center"/>
    </xf>
    <xf numFmtId="1" fontId="6" fillId="5" borderId="4" xfId="0" applyNumberFormat="1" applyFont="1" applyFill="1" applyBorder="1" applyAlignment="1">
      <alignment horizontal="center" vertical="center"/>
    </xf>
    <xf numFmtId="2" fontId="6" fillId="5" borderId="4" xfId="0" applyNumberFormat="1" applyFont="1" applyFill="1" applyBorder="1" applyAlignment="1">
      <alignment horizontal="center" vertical="center"/>
    </xf>
    <xf numFmtId="15" fontId="0" fillId="0" borderId="16" xfId="0" applyNumberFormat="1" applyBorder="1" applyAlignment="1">
      <alignment horizontal="center" vertical="center"/>
    </xf>
    <xf numFmtId="15" fontId="0" fillId="0" borderId="16" xfId="0" applyNumberFormat="1" applyFont="1" applyBorder="1" applyAlignment="1">
      <alignment horizontal="center" vertical="center"/>
    </xf>
    <xf numFmtId="1" fontId="0" fillId="0" borderId="0" xfId="0" applyNumberFormat="1" applyFont="1"/>
    <xf numFmtId="165" fontId="17" fillId="0" borderId="3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165" fontId="19" fillId="4" borderId="1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 vertical="center"/>
    </xf>
    <xf numFmtId="0" fontId="20" fillId="5" borderId="1" xfId="0" applyNumberFormat="1" applyFont="1" applyFill="1" applyBorder="1" applyAlignment="1">
      <alignment horizontal="center" vertical="center"/>
    </xf>
    <xf numFmtId="0" fontId="20" fillId="5" borderId="4" xfId="0" applyNumberFormat="1" applyFont="1" applyFill="1" applyBorder="1" applyAlignment="1">
      <alignment horizontal="center" vertical="center"/>
    </xf>
    <xf numFmtId="1" fontId="20" fillId="5" borderId="1" xfId="0" applyNumberFormat="1" applyFont="1" applyFill="1" applyBorder="1" applyAlignment="1">
      <alignment horizontal="center" vertical="center"/>
    </xf>
    <xf numFmtId="2" fontId="20" fillId="5" borderId="1" xfId="0" applyNumberFormat="1" applyFont="1" applyFill="1" applyBorder="1" applyAlignment="1">
      <alignment horizontal="center" vertical="center"/>
    </xf>
    <xf numFmtId="165" fontId="21" fillId="0" borderId="3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165" fontId="19" fillId="6" borderId="1" xfId="0" applyNumberFormat="1" applyFont="1" applyFill="1" applyBorder="1" applyAlignment="1">
      <alignment horizontal="center"/>
    </xf>
    <xf numFmtId="164" fontId="20" fillId="5" borderId="4" xfId="0" applyNumberFormat="1" applyFont="1" applyFill="1" applyBorder="1" applyAlignment="1">
      <alignment horizontal="center"/>
    </xf>
    <xf numFmtId="164" fontId="20" fillId="5" borderId="1" xfId="0" applyNumberFormat="1" applyFont="1" applyFill="1" applyBorder="1" applyAlignment="1">
      <alignment horizontal="center"/>
    </xf>
    <xf numFmtId="0" fontId="17" fillId="3" borderId="2" xfId="0" applyNumberFormat="1" applyFont="1" applyFill="1" applyBorder="1" applyAlignment="1">
      <alignment horizontal="center" vertical="center"/>
    </xf>
    <xf numFmtId="0" fontId="17" fillId="3" borderId="4" xfId="0" applyNumberFormat="1" applyFont="1" applyFill="1" applyBorder="1" applyAlignment="1">
      <alignment horizontal="center" vertical="center"/>
    </xf>
    <xf numFmtId="0" fontId="17" fillId="3" borderId="13" xfId="0" applyNumberFormat="1" applyFont="1" applyFill="1" applyBorder="1" applyAlignment="1">
      <alignment horizontal="center" vertical="center"/>
    </xf>
    <xf numFmtId="0" fontId="17" fillId="3" borderId="3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165" fontId="17" fillId="3" borderId="1" xfId="0" applyNumberFormat="1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horizontal="center" vertical="center"/>
    </xf>
    <xf numFmtId="0" fontId="17" fillId="3" borderId="5" xfId="0" applyNumberFormat="1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14" fontId="17" fillId="3" borderId="5" xfId="0" applyNumberFormat="1" applyFont="1" applyFill="1" applyBorder="1" applyAlignment="1">
      <alignment horizontal="center" vertical="center"/>
    </xf>
    <xf numFmtId="14" fontId="17" fillId="3" borderId="2" xfId="0" applyNumberFormat="1" applyFont="1" applyFill="1" applyBorder="1" applyAlignment="1">
      <alignment horizontal="center" vertical="center"/>
    </xf>
    <xf numFmtId="14" fontId="17" fillId="3" borderId="4" xfId="0" applyNumberFormat="1" applyFont="1" applyFill="1" applyBorder="1" applyAlignment="1">
      <alignment horizontal="center" vertical="center"/>
    </xf>
    <xf numFmtId="0" fontId="18" fillId="3" borderId="2" xfId="0" applyNumberFormat="1" applyFont="1" applyFill="1" applyBorder="1" applyAlignment="1">
      <alignment horizontal="center" vertical="center"/>
    </xf>
    <xf numFmtId="0" fontId="18" fillId="3" borderId="4" xfId="0" applyNumberFormat="1" applyFont="1" applyFill="1" applyBorder="1" applyAlignment="1">
      <alignment horizontal="center" vertical="center"/>
    </xf>
    <xf numFmtId="1" fontId="17" fillId="3" borderId="2" xfId="0" applyNumberFormat="1" applyFont="1" applyFill="1" applyBorder="1" applyAlignment="1">
      <alignment horizontal="center" vertical="center"/>
    </xf>
    <xf numFmtId="1" fontId="17" fillId="3" borderId="4" xfId="0" applyNumberFormat="1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188807</xdr:rowOff>
    </xdr:from>
    <xdr:to>
      <xdr:col>2</xdr:col>
      <xdr:colOff>397249</xdr:colOff>
      <xdr:row>4</xdr:row>
      <xdr:rowOff>9525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5" y="188807"/>
          <a:ext cx="2143125" cy="592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188807</xdr:rowOff>
    </xdr:from>
    <xdr:to>
      <xdr:col>1</xdr:col>
      <xdr:colOff>410694</xdr:colOff>
      <xdr:row>4</xdr:row>
      <xdr:rowOff>28575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4" y="188807"/>
          <a:ext cx="1162050" cy="601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W505"/>
  <sheetViews>
    <sheetView tabSelected="1" zoomScale="85" zoomScaleNormal="85" workbookViewId="0">
      <selection activeCell="H10" sqref="H10"/>
    </sheetView>
  </sheetViews>
  <sheetFormatPr defaultRowHeight="15"/>
  <cols>
    <col min="1" max="1" width="12.28515625" style="18" customWidth="1"/>
    <col min="2" max="2" width="16.28515625" customWidth="1"/>
    <col min="3" max="3" width="10.5703125" customWidth="1"/>
    <col min="4" max="4" width="14.140625" customWidth="1"/>
    <col min="5" max="5" width="8.5703125" customWidth="1"/>
    <col min="6" max="6" width="9.140625" customWidth="1"/>
    <col min="7" max="7" width="10" customWidth="1"/>
    <col min="8" max="8" width="13" customWidth="1"/>
    <col min="9" max="9" width="14.85546875" customWidth="1"/>
    <col min="10" max="10" width="12.7109375" customWidth="1"/>
    <col min="11" max="11" width="12.5703125" customWidth="1"/>
    <col min="12" max="12" width="15" customWidth="1"/>
    <col min="13" max="13" width="14.85546875" customWidth="1"/>
  </cols>
  <sheetData>
    <row r="1" spans="1:13">
      <c r="A1" s="70"/>
      <c r="B1" s="71"/>
      <c r="C1" s="72"/>
      <c r="D1" s="79" t="s">
        <v>22</v>
      </c>
      <c r="E1" s="80"/>
      <c r="F1" s="80"/>
      <c r="G1" s="80"/>
      <c r="H1" s="80"/>
      <c r="I1" s="80"/>
      <c r="J1" s="80"/>
      <c r="K1" s="80"/>
      <c r="L1" s="80"/>
      <c r="M1" s="81"/>
    </row>
    <row r="2" spans="1:13">
      <c r="A2" s="73"/>
      <c r="B2" s="74"/>
      <c r="C2" s="75"/>
      <c r="D2" s="82"/>
      <c r="E2" s="83"/>
      <c r="F2" s="83"/>
      <c r="G2" s="83"/>
      <c r="H2" s="83"/>
      <c r="I2" s="83"/>
      <c r="J2" s="83"/>
      <c r="K2" s="83"/>
      <c r="L2" s="83"/>
      <c r="M2" s="84"/>
    </row>
    <row r="3" spans="1:13">
      <c r="A3" s="73"/>
      <c r="B3" s="74"/>
      <c r="C3" s="75"/>
      <c r="D3" s="85"/>
      <c r="E3" s="86"/>
      <c r="F3" s="86"/>
      <c r="G3" s="86"/>
      <c r="H3" s="86"/>
      <c r="I3" s="86"/>
      <c r="J3" s="86"/>
      <c r="K3" s="86"/>
      <c r="L3" s="86"/>
      <c r="M3" s="87"/>
    </row>
    <row r="4" spans="1:13" ht="15.75">
      <c r="A4" s="73"/>
      <c r="B4" s="74"/>
      <c r="C4" s="75"/>
      <c r="D4" s="88" t="s">
        <v>0</v>
      </c>
      <c r="E4" s="89"/>
      <c r="F4" s="89"/>
      <c r="G4" s="89"/>
      <c r="H4" s="89"/>
      <c r="I4" s="89"/>
      <c r="J4" s="89"/>
      <c r="K4" s="89"/>
      <c r="L4" s="89"/>
      <c r="M4" s="90"/>
    </row>
    <row r="5" spans="1:13" ht="15.75">
      <c r="A5" s="76"/>
      <c r="B5" s="77"/>
      <c r="C5" s="78"/>
      <c r="D5" s="88" t="s">
        <v>1</v>
      </c>
      <c r="E5" s="89"/>
      <c r="F5" s="89"/>
      <c r="G5" s="89"/>
      <c r="H5" s="89"/>
      <c r="I5" s="89"/>
      <c r="J5" s="89"/>
      <c r="K5" s="89"/>
      <c r="L5" s="89"/>
      <c r="M5" s="90"/>
    </row>
    <row r="6" spans="1:13" ht="15" customHeight="1">
      <c r="A6" s="91" t="s">
        <v>2</v>
      </c>
      <c r="B6" s="92" t="s">
        <v>3</v>
      </c>
      <c r="C6" s="93" t="s">
        <v>4</v>
      </c>
      <c r="D6" s="66" t="s">
        <v>5</v>
      </c>
      <c r="E6" s="67" t="s">
        <v>6</v>
      </c>
      <c r="F6" s="67" t="s">
        <v>7</v>
      </c>
      <c r="G6" s="67" t="s">
        <v>8</v>
      </c>
      <c r="H6" s="67" t="s">
        <v>9</v>
      </c>
      <c r="I6" s="67" t="s">
        <v>10</v>
      </c>
      <c r="J6" s="66" t="s">
        <v>11</v>
      </c>
      <c r="K6" s="66" t="s">
        <v>12</v>
      </c>
      <c r="L6" s="68" t="s">
        <v>13</v>
      </c>
      <c r="M6" s="67" t="s">
        <v>18</v>
      </c>
    </row>
    <row r="7" spans="1:13" ht="15" customHeight="1">
      <c r="A7" s="91"/>
      <c r="B7" s="92"/>
      <c r="C7" s="66"/>
      <c r="D7" s="66"/>
      <c r="E7" s="92"/>
      <c r="F7" s="92"/>
      <c r="G7" s="92"/>
      <c r="H7" s="92"/>
      <c r="I7" s="92"/>
      <c r="J7" s="66"/>
      <c r="K7" s="66"/>
      <c r="L7" s="69"/>
      <c r="M7" s="92"/>
    </row>
    <row r="8" spans="1:13" ht="15" customHeight="1">
      <c r="A8" s="91"/>
      <c r="B8" s="92"/>
      <c r="C8" s="67"/>
      <c r="D8" s="67"/>
      <c r="E8" s="92"/>
      <c r="F8" s="92"/>
      <c r="G8" s="92"/>
      <c r="H8" s="92"/>
      <c r="I8" s="92"/>
      <c r="J8" s="67"/>
      <c r="K8" s="67"/>
      <c r="L8" s="69"/>
      <c r="M8" s="92"/>
    </row>
    <row r="9" spans="1:13" ht="15" customHeight="1">
      <c r="A9" s="43"/>
      <c r="B9" s="44"/>
      <c r="C9" s="45"/>
      <c r="D9" s="45"/>
      <c r="E9" s="44"/>
      <c r="F9" s="44"/>
      <c r="G9" s="44"/>
      <c r="H9" s="44"/>
      <c r="I9" s="44"/>
      <c r="J9" s="45"/>
      <c r="K9" s="45"/>
      <c r="L9" s="46"/>
      <c r="M9" s="44"/>
    </row>
    <row r="10" spans="1:13" ht="15" customHeight="1">
      <c r="A10" s="63">
        <v>44132</v>
      </c>
      <c r="B10" s="55" t="s">
        <v>29</v>
      </c>
      <c r="C10" s="56" t="s">
        <v>16</v>
      </c>
      <c r="D10" s="56">
        <v>200</v>
      </c>
      <c r="E10" s="57">
        <v>5000</v>
      </c>
      <c r="F10" s="55" t="s">
        <v>15</v>
      </c>
      <c r="G10" s="58">
        <v>2.25</v>
      </c>
      <c r="H10" s="58">
        <v>0.55000000000000004</v>
      </c>
      <c r="I10" s="58">
        <v>0</v>
      </c>
      <c r="J10" s="64">
        <f t="shared" ref="J10" si="0">(IF(F10="SELL",G10-H10,IF(F10="BUY",H10-G10)))*E10</f>
        <v>-8500</v>
      </c>
      <c r="K10" s="64">
        <v>0</v>
      </c>
      <c r="L10" s="65">
        <f t="shared" ref="L10" si="1">(K10+J10)/E10</f>
        <v>-1.7</v>
      </c>
      <c r="M10" s="65">
        <f t="shared" ref="M10" si="2">L10*E10</f>
        <v>-8500</v>
      </c>
    </row>
    <row r="11" spans="1:13" ht="15" customHeight="1">
      <c r="A11" s="63">
        <v>44132</v>
      </c>
      <c r="B11" s="55" t="s">
        <v>130</v>
      </c>
      <c r="C11" s="56" t="s">
        <v>16</v>
      </c>
      <c r="D11" s="56">
        <v>480</v>
      </c>
      <c r="E11" s="57">
        <v>1851</v>
      </c>
      <c r="F11" s="55" t="s">
        <v>15</v>
      </c>
      <c r="G11" s="58">
        <v>5</v>
      </c>
      <c r="H11" s="58">
        <v>9.5</v>
      </c>
      <c r="I11" s="58">
        <v>0</v>
      </c>
      <c r="J11" s="64">
        <f t="shared" ref="J11" si="3">(IF(F11="SELL",G11-H11,IF(F11="BUY",H11-G11)))*E11</f>
        <v>8329.5</v>
      </c>
      <c r="K11" s="64">
        <v>0</v>
      </c>
      <c r="L11" s="65">
        <f t="shared" ref="L11" si="4">(K11+J11)/E11</f>
        <v>4.5</v>
      </c>
      <c r="M11" s="65">
        <f t="shared" ref="M11" si="5">L11*E11</f>
        <v>8329.5</v>
      </c>
    </row>
    <row r="12" spans="1:13" ht="15" customHeight="1">
      <c r="A12" s="63">
        <v>44131</v>
      </c>
      <c r="B12" s="55" t="s">
        <v>145</v>
      </c>
      <c r="C12" s="56" t="s">
        <v>16</v>
      </c>
      <c r="D12" s="56">
        <v>175</v>
      </c>
      <c r="E12" s="57">
        <v>2700</v>
      </c>
      <c r="F12" s="55" t="s">
        <v>15</v>
      </c>
      <c r="G12" s="58">
        <v>2</v>
      </c>
      <c r="H12" s="58">
        <v>2.4</v>
      </c>
      <c r="I12" s="58">
        <v>0</v>
      </c>
      <c r="J12" s="64">
        <f t="shared" ref="J12" si="6">(IF(F12="SELL",G12-H12,IF(F12="BUY",H12-G12)))*E12</f>
        <v>1079.9999999999998</v>
      </c>
      <c r="K12" s="64">
        <v>0</v>
      </c>
      <c r="L12" s="65">
        <f t="shared" ref="L12" si="7">(K12+J12)/E12</f>
        <v>0.39999999999999991</v>
      </c>
      <c r="M12" s="65">
        <f t="shared" ref="M12" si="8">L12*E12</f>
        <v>1079.9999999999998</v>
      </c>
    </row>
    <row r="13" spans="1:13" ht="15" customHeight="1">
      <c r="A13" s="63">
        <v>44131</v>
      </c>
      <c r="B13" s="55" t="s">
        <v>29</v>
      </c>
      <c r="C13" s="56" t="s">
        <v>14</v>
      </c>
      <c r="D13" s="56">
        <v>190</v>
      </c>
      <c r="E13" s="57">
        <v>5000</v>
      </c>
      <c r="F13" s="55" t="s">
        <v>15</v>
      </c>
      <c r="G13" s="58">
        <v>4</v>
      </c>
      <c r="H13" s="58">
        <v>2.25</v>
      </c>
      <c r="I13" s="58">
        <v>0</v>
      </c>
      <c r="J13" s="64">
        <f t="shared" ref="J13" si="9">(IF(F13="SELL",G13-H13,IF(F13="BUY",H13-G13)))*E13</f>
        <v>-8750</v>
      </c>
      <c r="K13" s="64">
        <v>0</v>
      </c>
      <c r="L13" s="65">
        <f t="shared" ref="L13" si="10">(K13+J13)/E13</f>
        <v>-1.75</v>
      </c>
      <c r="M13" s="65">
        <f t="shared" ref="M13" si="11">L13*E13</f>
        <v>-8750</v>
      </c>
    </row>
    <row r="14" spans="1:13" ht="15" customHeight="1">
      <c r="A14" s="63">
        <v>44130</v>
      </c>
      <c r="B14" s="55" t="s">
        <v>211</v>
      </c>
      <c r="C14" s="56" t="s">
        <v>14</v>
      </c>
      <c r="D14" s="56">
        <v>85</v>
      </c>
      <c r="E14" s="57">
        <v>6700</v>
      </c>
      <c r="F14" s="55" t="s">
        <v>15</v>
      </c>
      <c r="G14" s="58">
        <v>2</v>
      </c>
      <c r="H14" s="58">
        <v>2.5499999999999998</v>
      </c>
      <c r="I14" s="58">
        <v>3.2</v>
      </c>
      <c r="J14" s="64">
        <f t="shared" ref="J14" si="12">(IF(F14="SELL",G14-H14,IF(F14="BUY",H14-G14)))*E14</f>
        <v>3684.9999999999986</v>
      </c>
      <c r="K14" s="64">
        <f>E14*0.65</f>
        <v>4355</v>
      </c>
      <c r="L14" s="65">
        <f t="shared" ref="L14" si="13">(K14+J14)/E14</f>
        <v>1.1999999999999997</v>
      </c>
      <c r="M14" s="65">
        <f t="shared" ref="M14" si="14">L14*E14</f>
        <v>8039.9999999999982</v>
      </c>
    </row>
    <row r="15" spans="1:13" ht="15" customHeight="1">
      <c r="A15" s="63">
        <v>44127</v>
      </c>
      <c r="B15" s="55" t="s">
        <v>86</v>
      </c>
      <c r="C15" s="56" t="s">
        <v>16</v>
      </c>
      <c r="D15" s="56">
        <v>250</v>
      </c>
      <c r="E15" s="57">
        <v>3000</v>
      </c>
      <c r="F15" s="55" t="s">
        <v>15</v>
      </c>
      <c r="G15" s="58">
        <v>5</v>
      </c>
      <c r="H15" s="58">
        <v>2.75</v>
      </c>
      <c r="I15" s="58">
        <v>0</v>
      </c>
      <c r="J15" s="64">
        <f t="shared" ref="J15" si="15">(IF(F15="SELL",G15-H15,IF(F15="BUY",H15-G15)))*E15</f>
        <v>-6750</v>
      </c>
      <c r="K15" s="64">
        <v>0</v>
      </c>
      <c r="L15" s="65">
        <f t="shared" ref="L15" si="16">(K15+J15)/E15</f>
        <v>-2.25</v>
      </c>
      <c r="M15" s="65">
        <f t="shared" ref="M15" si="17">L15*E15</f>
        <v>-6750</v>
      </c>
    </row>
    <row r="16" spans="1:13" ht="15" customHeight="1">
      <c r="A16" s="63">
        <v>44126</v>
      </c>
      <c r="B16" s="55" t="s">
        <v>114</v>
      </c>
      <c r="C16" s="56" t="s">
        <v>16</v>
      </c>
      <c r="D16" s="56">
        <v>320</v>
      </c>
      <c r="E16" s="57">
        <v>4000</v>
      </c>
      <c r="F16" s="55" t="s">
        <v>15</v>
      </c>
      <c r="G16" s="58">
        <v>7.5</v>
      </c>
      <c r="H16" s="58">
        <v>9</v>
      </c>
      <c r="I16" s="58">
        <v>0</v>
      </c>
      <c r="J16" s="64">
        <f t="shared" ref="J16" si="18">(IF(F16="SELL",G16-H16,IF(F16="BUY",H16-G16)))*E16</f>
        <v>6000</v>
      </c>
      <c r="K16" s="64">
        <v>0</v>
      </c>
      <c r="L16" s="65">
        <f t="shared" ref="L16" si="19">(K16+J16)/E16</f>
        <v>1.5</v>
      </c>
      <c r="M16" s="65">
        <f t="shared" ref="M16" si="20">L16*E16</f>
        <v>6000</v>
      </c>
    </row>
    <row r="17" spans="1:13" ht="15" customHeight="1">
      <c r="A17" s="63">
        <v>44126</v>
      </c>
      <c r="B17" s="55" t="s">
        <v>210</v>
      </c>
      <c r="C17" s="56" t="s">
        <v>14</v>
      </c>
      <c r="D17" s="56">
        <v>130</v>
      </c>
      <c r="E17" s="57">
        <v>5700</v>
      </c>
      <c r="F17" s="55" t="s">
        <v>15</v>
      </c>
      <c r="G17" s="58">
        <v>5.25</v>
      </c>
      <c r="H17" s="58">
        <v>4.3499999999999996</v>
      </c>
      <c r="I17" s="58">
        <v>0</v>
      </c>
      <c r="J17" s="64">
        <f t="shared" ref="J17" si="21">(IF(F17="SELL",G17-H17,IF(F17="BUY",H17-G17)))*E17</f>
        <v>-5130.0000000000018</v>
      </c>
      <c r="K17" s="64">
        <v>0</v>
      </c>
      <c r="L17" s="65">
        <f t="shared" ref="L17" si="22">(K17+J17)/E17</f>
        <v>-0.90000000000000036</v>
      </c>
      <c r="M17" s="65">
        <f t="shared" ref="M17" si="23">L17*E17</f>
        <v>-5130.0000000000018</v>
      </c>
    </row>
    <row r="18" spans="1:13" ht="15" customHeight="1">
      <c r="A18" s="63">
        <v>44125</v>
      </c>
      <c r="B18" s="55" t="s">
        <v>122</v>
      </c>
      <c r="C18" s="56" t="s">
        <v>14</v>
      </c>
      <c r="D18" s="56">
        <v>75</v>
      </c>
      <c r="E18" s="57">
        <v>9000</v>
      </c>
      <c r="F18" s="55" t="s">
        <v>15</v>
      </c>
      <c r="G18" s="58">
        <v>2.25</v>
      </c>
      <c r="H18" s="58">
        <v>2.2000000000000002</v>
      </c>
      <c r="I18" s="58">
        <v>0</v>
      </c>
      <c r="J18" s="64">
        <f t="shared" ref="J18" si="24">(IF(F18="SELL",G18-H18,IF(F18="BUY",H18-G18)))*E18</f>
        <v>-449.99999999999841</v>
      </c>
      <c r="K18" s="64">
        <v>0</v>
      </c>
      <c r="L18" s="65">
        <f t="shared" ref="L18" si="25">(K18+J18)/E18</f>
        <v>-4.9999999999999822E-2</v>
      </c>
      <c r="M18" s="65">
        <f t="shared" ref="M18" si="26">L18*E18</f>
        <v>-449.99999999999841</v>
      </c>
    </row>
    <row r="19" spans="1:13" ht="15" customHeight="1">
      <c r="A19" s="63">
        <v>44124</v>
      </c>
      <c r="B19" s="55" t="s">
        <v>86</v>
      </c>
      <c r="C19" s="56" t="s">
        <v>16</v>
      </c>
      <c r="D19" s="56">
        <v>250</v>
      </c>
      <c r="E19" s="57">
        <v>3000</v>
      </c>
      <c r="F19" s="55" t="s">
        <v>15</v>
      </c>
      <c r="G19" s="58">
        <v>9.5</v>
      </c>
      <c r="H19" s="58">
        <v>7</v>
      </c>
      <c r="I19" s="58">
        <v>0</v>
      </c>
      <c r="J19" s="64">
        <f t="shared" ref="J19:J20" si="27">(IF(F19="SELL",G19-H19,IF(F19="BUY",H19-G19)))*E19</f>
        <v>-7500</v>
      </c>
      <c r="K19" s="64">
        <v>0</v>
      </c>
      <c r="L19" s="65">
        <f t="shared" ref="L19:L20" si="28">(K19+J19)/E19</f>
        <v>-2.5</v>
      </c>
      <c r="M19" s="65">
        <f t="shared" ref="M19:M20" si="29">L19*E19</f>
        <v>-7500</v>
      </c>
    </row>
    <row r="20" spans="1:13" ht="15" customHeight="1">
      <c r="A20" s="63">
        <v>44123</v>
      </c>
      <c r="B20" s="55" t="s">
        <v>73</v>
      </c>
      <c r="C20" s="56" t="s">
        <v>16</v>
      </c>
      <c r="D20" s="56">
        <v>320</v>
      </c>
      <c r="E20" s="57">
        <v>2700</v>
      </c>
      <c r="F20" s="55" t="s">
        <v>15</v>
      </c>
      <c r="G20" s="58">
        <v>9</v>
      </c>
      <c r="H20" s="58">
        <v>10.9</v>
      </c>
      <c r="I20" s="58">
        <v>0</v>
      </c>
      <c r="J20" s="64">
        <f t="shared" si="27"/>
        <v>5130.0000000000009</v>
      </c>
      <c r="K20" s="64">
        <v>0</v>
      </c>
      <c r="L20" s="65">
        <f t="shared" si="28"/>
        <v>1.9000000000000004</v>
      </c>
      <c r="M20" s="65">
        <f t="shared" si="29"/>
        <v>5130.0000000000009</v>
      </c>
    </row>
    <row r="21" spans="1:13" ht="15" customHeight="1">
      <c r="A21" s="63">
        <v>44120</v>
      </c>
      <c r="B21" s="55" t="s">
        <v>122</v>
      </c>
      <c r="C21" s="56" t="s">
        <v>16</v>
      </c>
      <c r="D21" s="56">
        <v>75</v>
      </c>
      <c r="E21" s="57">
        <v>9000</v>
      </c>
      <c r="F21" s="55" t="s">
        <v>15</v>
      </c>
      <c r="G21" s="58">
        <v>3.4</v>
      </c>
      <c r="H21" s="58">
        <v>3.3</v>
      </c>
      <c r="I21" s="58">
        <v>0</v>
      </c>
      <c r="J21" s="64">
        <f t="shared" ref="J21" si="30">(IF(F21="SELL",G21-H21,IF(F21="BUY",H21-G21)))*E21</f>
        <v>-900.0000000000008</v>
      </c>
      <c r="K21" s="64">
        <v>0</v>
      </c>
      <c r="L21" s="65">
        <f t="shared" ref="L21" si="31">(K21+J21)/E21</f>
        <v>-0.10000000000000009</v>
      </c>
      <c r="M21" s="65">
        <f t="shared" ref="M21" si="32">L21*E21</f>
        <v>-900.0000000000008</v>
      </c>
    </row>
    <row r="22" spans="1:13" ht="15" customHeight="1">
      <c r="A22" s="63">
        <v>44119</v>
      </c>
      <c r="B22" s="6" t="s">
        <v>209</v>
      </c>
      <c r="C22" s="9" t="s">
        <v>16</v>
      </c>
      <c r="D22" s="9">
        <v>840</v>
      </c>
      <c r="E22" s="6">
        <v>600</v>
      </c>
      <c r="F22" s="6" t="s">
        <v>15</v>
      </c>
      <c r="G22" s="22">
        <v>23</v>
      </c>
      <c r="H22" s="58">
        <v>16</v>
      </c>
      <c r="I22" s="58">
        <v>0</v>
      </c>
      <c r="J22" s="64">
        <f t="shared" ref="J22" si="33">(IF(F22="SELL",G22-H22,IF(F22="BUY",H22-G22)))*E22</f>
        <v>-4200</v>
      </c>
      <c r="K22" s="64">
        <v>0</v>
      </c>
      <c r="L22" s="65">
        <f t="shared" ref="L22" si="34">(K22+J22)/E22</f>
        <v>-7</v>
      </c>
      <c r="M22" s="65">
        <f t="shared" ref="M22" si="35">L22*E22</f>
        <v>-4200</v>
      </c>
    </row>
    <row r="23" spans="1:13" ht="15" customHeight="1">
      <c r="A23" s="63">
        <v>44119</v>
      </c>
      <c r="B23" s="55" t="s">
        <v>205</v>
      </c>
      <c r="C23" s="56" t="s">
        <v>16</v>
      </c>
      <c r="D23" s="56">
        <v>1400</v>
      </c>
      <c r="E23" s="57">
        <v>800</v>
      </c>
      <c r="F23" s="55" t="s">
        <v>15</v>
      </c>
      <c r="G23" s="58">
        <v>50</v>
      </c>
      <c r="H23" s="58">
        <v>56</v>
      </c>
      <c r="I23" s="58">
        <v>0</v>
      </c>
      <c r="J23" s="64">
        <f t="shared" ref="J23" si="36">(IF(F23="SELL",G23-H23,IF(F23="BUY",H23-G23)))*E23</f>
        <v>4800</v>
      </c>
      <c r="K23" s="64">
        <v>0</v>
      </c>
      <c r="L23" s="65">
        <f t="shared" ref="L23" si="37">(K23+J23)/E23</f>
        <v>6</v>
      </c>
      <c r="M23" s="65">
        <f t="shared" ref="M23" si="38">L23*E23</f>
        <v>4800</v>
      </c>
    </row>
    <row r="24" spans="1:13" ht="15" customHeight="1">
      <c r="A24" s="63">
        <v>44118</v>
      </c>
      <c r="B24" s="55" t="s">
        <v>208</v>
      </c>
      <c r="C24" s="56" t="s">
        <v>16</v>
      </c>
      <c r="D24" s="56">
        <v>2800</v>
      </c>
      <c r="E24" s="57">
        <v>375</v>
      </c>
      <c r="F24" s="55" t="s">
        <v>15</v>
      </c>
      <c r="G24" s="58">
        <v>110</v>
      </c>
      <c r="H24" s="58">
        <v>90</v>
      </c>
      <c r="I24" s="58">
        <v>0</v>
      </c>
      <c r="J24" s="64">
        <f t="shared" ref="J24" si="39">(IF(F24="SELL",G24-H24,IF(F24="BUY",H24-G24)))*E24</f>
        <v>-7500</v>
      </c>
      <c r="K24" s="64">
        <v>0</v>
      </c>
      <c r="L24" s="65">
        <f t="shared" ref="L24" si="40">(K24+J24)/E24</f>
        <v>-20</v>
      </c>
      <c r="M24" s="65">
        <f t="shared" ref="M24" si="41">L24*E24</f>
        <v>-7500</v>
      </c>
    </row>
    <row r="25" spans="1:13" ht="15" customHeight="1">
      <c r="A25" s="63">
        <v>44118</v>
      </c>
      <c r="B25" s="55" t="s">
        <v>86</v>
      </c>
      <c r="C25" s="56" t="s">
        <v>14</v>
      </c>
      <c r="D25" s="56">
        <v>240</v>
      </c>
      <c r="E25" s="57">
        <v>3000</v>
      </c>
      <c r="F25" s="55" t="s">
        <v>15</v>
      </c>
      <c r="G25" s="58">
        <v>8.5</v>
      </c>
      <c r="H25" s="58">
        <v>7.1</v>
      </c>
      <c r="I25" s="58">
        <v>0</v>
      </c>
      <c r="J25" s="64">
        <f t="shared" ref="J25" si="42">(IF(F25="SELL",G25-H25,IF(F25="BUY",H25-G25)))*E25</f>
        <v>-4200.0000000000009</v>
      </c>
      <c r="K25" s="64">
        <v>0</v>
      </c>
      <c r="L25" s="65">
        <f t="shared" ref="L25" si="43">(K25+J25)/E25</f>
        <v>-1.4000000000000004</v>
      </c>
      <c r="M25" s="65">
        <f t="shared" ref="M25" si="44">L25*E25</f>
        <v>-4200.0000000000009</v>
      </c>
    </row>
    <row r="26" spans="1:13" ht="15" customHeight="1">
      <c r="A26" s="63">
        <v>44117</v>
      </c>
      <c r="B26" s="55" t="s">
        <v>84</v>
      </c>
      <c r="C26" s="56" t="s">
        <v>14</v>
      </c>
      <c r="D26" s="56">
        <v>200</v>
      </c>
      <c r="E26" s="57">
        <v>3000</v>
      </c>
      <c r="F26" s="55" t="s">
        <v>15</v>
      </c>
      <c r="G26" s="58">
        <v>9</v>
      </c>
      <c r="H26" s="58">
        <v>9.75</v>
      </c>
      <c r="I26" s="58">
        <v>10</v>
      </c>
      <c r="J26" s="64">
        <f t="shared" ref="J26" si="45">(IF(F26="SELL",G26-H26,IF(F26="BUY",H26-G26)))*E26</f>
        <v>2250</v>
      </c>
      <c r="K26" s="64">
        <f>E26*0.25</f>
        <v>750</v>
      </c>
      <c r="L26" s="65">
        <f t="shared" ref="L26" si="46">(K26+J26)/E26</f>
        <v>1</v>
      </c>
      <c r="M26" s="65">
        <f t="shared" ref="M26" si="47">L26*E26</f>
        <v>3000</v>
      </c>
    </row>
    <row r="27" spans="1:13" ht="15" customHeight="1">
      <c r="A27" s="63">
        <v>44117</v>
      </c>
      <c r="B27" s="55" t="s">
        <v>207</v>
      </c>
      <c r="C27" s="56" t="s">
        <v>16</v>
      </c>
      <c r="D27" s="56">
        <v>1600</v>
      </c>
      <c r="E27" s="57">
        <v>500</v>
      </c>
      <c r="F27" s="55" t="s">
        <v>15</v>
      </c>
      <c r="G27" s="58">
        <v>36</v>
      </c>
      <c r="H27" s="58">
        <v>45</v>
      </c>
      <c r="I27" s="58">
        <v>0</v>
      </c>
      <c r="J27" s="64">
        <f t="shared" ref="J27" si="48">(IF(F27="SELL",G27-H27,IF(F27="BUY",H27-G27)))*E27</f>
        <v>4500</v>
      </c>
      <c r="K27" s="64">
        <v>0</v>
      </c>
      <c r="L27" s="65">
        <f t="shared" ref="L27" si="49">(K27+J27)/E27</f>
        <v>9</v>
      </c>
      <c r="M27" s="65">
        <f t="shared" ref="M27" si="50">L27*E27</f>
        <v>4500</v>
      </c>
    </row>
    <row r="28" spans="1:13" ht="15" customHeight="1">
      <c r="A28" s="63">
        <v>44116</v>
      </c>
      <c r="B28" s="55" t="s">
        <v>68</v>
      </c>
      <c r="C28" s="56" t="s">
        <v>16</v>
      </c>
      <c r="D28" s="56">
        <v>5400</v>
      </c>
      <c r="E28" s="57">
        <v>250</v>
      </c>
      <c r="F28" s="55" t="s">
        <v>15</v>
      </c>
      <c r="G28" s="58">
        <v>160</v>
      </c>
      <c r="H28" s="58">
        <v>165</v>
      </c>
      <c r="I28" s="58">
        <v>200</v>
      </c>
      <c r="J28" s="64">
        <f t="shared" ref="J28" si="51">(IF(F28="SELL",G28-H28,IF(F28="BUY",H28-G28)))*E28</f>
        <v>1250</v>
      </c>
      <c r="K28" s="64">
        <f>E28*35</f>
        <v>8750</v>
      </c>
      <c r="L28" s="65">
        <f t="shared" ref="L28" si="52">(K28+J28)/E28</f>
        <v>40</v>
      </c>
      <c r="M28" s="65">
        <f t="shared" ref="M28" si="53">L28*E28</f>
        <v>10000</v>
      </c>
    </row>
    <row r="29" spans="1:13" ht="15" customHeight="1">
      <c r="A29" s="63">
        <v>44116</v>
      </c>
      <c r="B29" s="55" t="s">
        <v>17</v>
      </c>
      <c r="C29" s="56" t="s">
        <v>16</v>
      </c>
      <c r="D29" s="56">
        <v>160</v>
      </c>
      <c r="E29" s="57">
        <v>3300</v>
      </c>
      <c r="F29" s="55" t="s">
        <v>15</v>
      </c>
      <c r="G29" s="58">
        <v>8.5</v>
      </c>
      <c r="H29" s="58">
        <v>7.7</v>
      </c>
      <c r="I29" s="58">
        <v>0</v>
      </c>
      <c r="J29" s="64">
        <f t="shared" ref="J29" si="54">(IF(F29="SELL",G29-H29,IF(F29="BUY",H29-G29)))*E29</f>
        <v>-2639.9999999999995</v>
      </c>
      <c r="K29" s="64">
        <v>0</v>
      </c>
      <c r="L29" s="65">
        <f t="shared" ref="L29" si="55">(K29+J29)/E29</f>
        <v>-0.79999999999999982</v>
      </c>
      <c r="M29" s="65">
        <f t="shared" ref="M29" si="56">L29*E29</f>
        <v>-2639.9999999999995</v>
      </c>
    </row>
    <row r="30" spans="1:13" ht="15" customHeight="1">
      <c r="A30" s="63">
        <v>44113</v>
      </c>
      <c r="B30" s="55" t="s">
        <v>84</v>
      </c>
      <c r="C30" s="56" t="s">
        <v>16</v>
      </c>
      <c r="D30" s="56">
        <v>200</v>
      </c>
      <c r="E30" s="57">
        <v>3000</v>
      </c>
      <c r="F30" s="55" t="s">
        <v>15</v>
      </c>
      <c r="G30" s="58">
        <v>6</v>
      </c>
      <c r="H30" s="58">
        <v>7.25</v>
      </c>
      <c r="I30" s="58">
        <v>7.7</v>
      </c>
      <c r="J30" s="64">
        <f t="shared" ref="J30" si="57">(IF(F30="SELL",G30-H30,IF(F30="BUY",H30-G30)))*E30</f>
        <v>3750</v>
      </c>
      <c r="K30" s="64">
        <f>E30*0.45</f>
        <v>1350</v>
      </c>
      <c r="L30" s="65">
        <f t="shared" ref="L30" si="58">(K30+J30)/E30</f>
        <v>1.7</v>
      </c>
      <c r="M30" s="65">
        <f t="shared" ref="M30" si="59">L30*E30</f>
        <v>5100</v>
      </c>
    </row>
    <row r="31" spans="1:13" ht="15" customHeight="1">
      <c r="A31" s="63">
        <v>44112</v>
      </c>
      <c r="B31" s="55" t="s">
        <v>68</v>
      </c>
      <c r="C31" s="56" t="s">
        <v>14</v>
      </c>
      <c r="D31" s="56">
        <v>5000</v>
      </c>
      <c r="E31" s="57">
        <v>250</v>
      </c>
      <c r="F31" s="55" t="s">
        <v>15</v>
      </c>
      <c r="G31" s="58">
        <v>155</v>
      </c>
      <c r="H31" s="58">
        <v>136</v>
      </c>
      <c r="I31" s="58">
        <v>0</v>
      </c>
      <c r="J31" s="64">
        <f t="shared" ref="J31" si="60">(IF(F31="SELL",G31-H31,IF(F31="BUY",H31-G31)))*E31</f>
        <v>-4750</v>
      </c>
      <c r="K31" s="64">
        <v>0</v>
      </c>
      <c r="L31" s="65">
        <f t="shared" ref="L31" si="61">(K31+J31)/E31</f>
        <v>-19</v>
      </c>
      <c r="M31" s="65">
        <f t="shared" ref="M31" si="62">L31*E31</f>
        <v>-4750</v>
      </c>
    </row>
    <row r="32" spans="1:13" ht="15" customHeight="1">
      <c r="A32" s="63">
        <v>44112</v>
      </c>
      <c r="B32" s="55" t="s">
        <v>157</v>
      </c>
      <c r="C32" s="56" t="s">
        <v>16</v>
      </c>
      <c r="D32" s="56">
        <v>35</v>
      </c>
      <c r="E32" s="57">
        <v>19000</v>
      </c>
      <c r="F32" s="55" t="s">
        <v>15</v>
      </c>
      <c r="G32" s="58">
        <v>1.6</v>
      </c>
      <c r="H32" s="58">
        <v>2.0499999999999998</v>
      </c>
      <c r="I32" s="58">
        <v>0</v>
      </c>
      <c r="J32" s="64">
        <f t="shared" ref="J32" si="63">(IF(F32="SELL",G32-H32,IF(F32="BUY",H32-G32)))*E32</f>
        <v>8549.9999999999945</v>
      </c>
      <c r="K32" s="64">
        <v>0</v>
      </c>
      <c r="L32" s="65">
        <f t="shared" ref="L32" si="64">(K32+J32)/E32</f>
        <v>0.44999999999999973</v>
      </c>
      <c r="M32" s="65">
        <f t="shared" ref="M32" si="65">L32*E32</f>
        <v>8549.9999999999945</v>
      </c>
    </row>
    <row r="33" spans="1:13" ht="15" customHeight="1">
      <c r="A33" s="63">
        <v>44111</v>
      </c>
      <c r="B33" s="55" t="s">
        <v>29</v>
      </c>
      <c r="C33" s="56" t="s">
        <v>16</v>
      </c>
      <c r="D33" s="56">
        <v>190</v>
      </c>
      <c r="E33" s="57">
        <v>5000</v>
      </c>
      <c r="F33" s="55" t="s">
        <v>15</v>
      </c>
      <c r="G33" s="58">
        <v>12</v>
      </c>
      <c r="H33" s="58">
        <v>12.5</v>
      </c>
      <c r="I33" s="58">
        <v>0</v>
      </c>
      <c r="J33" s="64">
        <f t="shared" ref="J33:J34" si="66">(IF(F33="SELL",G33-H33,IF(F33="BUY",H33-G33)))*E33</f>
        <v>2500</v>
      </c>
      <c r="K33" s="64">
        <v>0</v>
      </c>
      <c r="L33" s="65">
        <f t="shared" ref="L33:L34" si="67">(K33+J33)/E33</f>
        <v>0.5</v>
      </c>
      <c r="M33" s="65">
        <f t="shared" ref="M33:M34" si="68">L33*E33</f>
        <v>2500</v>
      </c>
    </row>
    <row r="34" spans="1:13" ht="15" customHeight="1">
      <c r="A34" s="63">
        <v>44111</v>
      </c>
      <c r="B34" s="55" t="s">
        <v>75</v>
      </c>
      <c r="C34" s="56" t="s">
        <v>16</v>
      </c>
      <c r="D34" s="56">
        <v>2400</v>
      </c>
      <c r="E34" s="57">
        <v>500</v>
      </c>
      <c r="F34" s="55" t="s">
        <v>15</v>
      </c>
      <c r="G34" s="58">
        <v>72</v>
      </c>
      <c r="H34" s="58">
        <v>71.150000000000006</v>
      </c>
      <c r="I34" s="58">
        <v>0</v>
      </c>
      <c r="J34" s="64">
        <f t="shared" si="66"/>
        <v>-424.99999999999716</v>
      </c>
      <c r="K34" s="64">
        <v>0</v>
      </c>
      <c r="L34" s="65">
        <f t="shared" si="67"/>
        <v>-0.84999999999999432</v>
      </c>
      <c r="M34" s="65">
        <f t="shared" si="68"/>
        <v>-424.99999999999716</v>
      </c>
    </row>
    <row r="35" spans="1:13" ht="15" customHeight="1">
      <c r="A35" s="63">
        <v>44110</v>
      </c>
      <c r="B35" s="55" t="s">
        <v>203</v>
      </c>
      <c r="C35" s="56" t="s">
        <v>16</v>
      </c>
      <c r="D35" s="56">
        <v>620</v>
      </c>
      <c r="E35" s="57">
        <v>1100</v>
      </c>
      <c r="F35" s="55" t="s">
        <v>15</v>
      </c>
      <c r="G35" s="58">
        <v>18</v>
      </c>
      <c r="H35" s="58">
        <v>18.3</v>
      </c>
      <c r="I35" s="58">
        <v>0</v>
      </c>
      <c r="J35" s="64">
        <f t="shared" ref="J35" si="69">(IF(F35="SELL",G35-H35,IF(F35="BUY",H35-G35)))*E35</f>
        <v>330.0000000000008</v>
      </c>
      <c r="K35" s="64">
        <v>0</v>
      </c>
      <c r="L35" s="65">
        <f t="shared" ref="L35" si="70">(K35+J35)/E35</f>
        <v>0.30000000000000071</v>
      </c>
      <c r="M35" s="65">
        <f t="shared" ref="M35" si="71">L35*E35</f>
        <v>330.0000000000008</v>
      </c>
    </row>
    <row r="36" spans="1:13" ht="15" customHeight="1">
      <c r="A36" s="63">
        <v>44109</v>
      </c>
      <c r="B36" s="55" t="s">
        <v>206</v>
      </c>
      <c r="C36" s="56" t="s">
        <v>16</v>
      </c>
      <c r="D36" s="56">
        <v>345</v>
      </c>
      <c r="E36" s="57">
        <v>3200</v>
      </c>
      <c r="F36" s="55" t="s">
        <v>15</v>
      </c>
      <c r="G36" s="58">
        <v>10</v>
      </c>
      <c r="H36" s="58">
        <v>12.1</v>
      </c>
      <c r="I36" s="58">
        <v>0</v>
      </c>
      <c r="J36" s="64">
        <f t="shared" ref="J36" si="72">(IF(F36="SELL",G36-H36,IF(F36="BUY",H36-G36)))*E36</f>
        <v>6719.9999999999991</v>
      </c>
      <c r="K36" s="64">
        <v>0</v>
      </c>
      <c r="L36" s="65">
        <f t="shared" ref="L36" si="73">(K36+J36)/E36</f>
        <v>2.0999999999999996</v>
      </c>
      <c r="M36" s="65">
        <f t="shared" ref="M36" si="74">L36*E36</f>
        <v>6719.9999999999991</v>
      </c>
    </row>
    <row r="37" spans="1:13" ht="15" customHeight="1">
      <c r="A37" s="63">
        <v>44109</v>
      </c>
      <c r="B37" s="55" t="s">
        <v>29</v>
      </c>
      <c r="C37" s="56" t="s">
        <v>16</v>
      </c>
      <c r="D37" s="56">
        <v>200</v>
      </c>
      <c r="E37" s="57">
        <v>5000</v>
      </c>
      <c r="F37" s="55" t="s">
        <v>15</v>
      </c>
      <c r="G37" s="58">
        <v>10</v>
      </c>
      <c r="H37" s="55">
        <v>10.95</v>
      </c>
      <c r="I37" s="58">
        <v>0</v>
      </c>
      <c r="J37" s="64">
        <f t="shared" ref="J37" si="75">(IF(F37="SELL",G37-H37,IF(F37="BUY",H37-G37)))*E37</f>
        <v>4749.9999999999964</v>
      </c>
      <c r="K37" s="64">
        <v>0</v>
      </c>
      <c r="L37" s="65">
        <f t="shared" ref="L37" si="76">(K37+J37)/E37</f>
        <v>0.94999999999999929</v>
      </c>
      <c r="M37" s="65">
        <f t="shared" ref="M37" si="77">L37*E37</f>
        <v>4749.9999999999964</v>
      </c>
    </row>
    <row r="38" spans="1:13" ht="15" customHeight="1">
      <c r="A38" s="63">
        <v>44105</v>
      </c>
      <c r="B38" s="55" t="s">
        <v>122</v>
      </c>
      <c r="C38" s="56" t="s">
        <v>16</v>
      </c>
      <c r="D38" s="56">
        <v>80</v>
      </c>
      <c r="E38" s="57">
        <v>9000</v>
      </c>
      <c r="F38" s="55" t="s">
        <v>15</v>
      </c>
      <c r="G38" s="58">
        <v>3.4</v>
      </c>
      <c r="H38" s="55">
        <v>3.55</v>
      </c>
      <c r="I38" s="58">
        <v>0</v>
      </c>
      <c r="J38" s="64">
        <f t="shared" ref="J38" si="78">(IF(F38="SELL",G38-H38,IF(F38="BUY",H38-G38)))*E38</f>
        <v>1349.9999999999991</v>
      </c>
      <c r="K38" s="64">
        <v>0</v>
      </c>
      <c r="L38" s="65">
        <f t="shared" ref="L38" si="79">(K38+J38)/E38</f>
        <v>0.14999999999999991</v>
      </c>
      <c r="M38" s="65">
        <f t="shared" ref="M38" si="80">L38*E38</f>
        <v>1349.9999999999991</v>
      </c>
    </row>
    <row r="39" spans="1:13" ht="15" customHeight="1">
      <c r="A39" s="63">
        <v>44104</v>
      </c>
      <c r="B39" s="55" t="s">
        <v>97</v>
      </c>
      <c r="C39" s="56" t="s">
        <v>16</v>
      </c>
      <c r="D39" s="56">
        <v>460</v>
      </c>
      <c r="E39" s="57">
        <v>2300</v>
      </c>
      <c r="F39" s="55" t="s">
        <v>15</v>
      </c>
      <c r="G39" s="58">
        <v>20</v>
      </c>
      <c r="H39" s="55">
        <v>16.45</v>
      </c>
      <c r="I39" s="58">
        <v>0</v>
      </c>
      <c r="J39" s="64">
        <f t="shared" ref="J39" si="81">(IF(F39="SELL",G39-H39,IF(F39="BUY",H39-G39)))*E39</f>
        <v>-8165.0000000000018</v>
      </c>
      <c r="K39" s="64">
        <v>0</v>
      </c>
      <c r="L39" s="65">
        <f t="shared" ref="L39" si="82">(K39+J39)/E39</f>
        <v>-3.5500000000000007</v>
      </c>
      <c r="M39" s="65">
        <f t="shared" ref="M39" si="83">L39*E39</f>
        <v>-8165.0000000000018</v>
      </c>
    </row>
    <row r="40" spans="1:13" ht="15" customHeight="1">
      <c r="A40" s="63">
        <v>44102</v>
      </c>
      <c r="B40" s="55" t="s">
        <v>205</v>
      </c>
      <c r="C40" s="56" t="s">
        <v>16</v>
      </c>
      <c r="D40" s="56">
        <v>1520</v>
      </c>
      <c r="E40" s="57">
        <v>800</v>
      </c>
      <c r="F40" s="55" t="s">
        <v>15</v>
      </c>
      <c r="G40" s="58">
        <v>40</v>
      </c>
      <c r="H40" s="58">
        <v>50</v>
      </c>
      <c r="I40" s="58">
        <v>0</v>
      </c>
      <c r="J40" s="64">
        <f t="shared" ref="J40" si="84">(IF(F40="SELL",G40-H40,IF(F40="BUY",H40-G40)))*E40</f>
        <v>8000</v>
      </c>
      <c r="K40" s="64">
        <v>0</v>
      </c>
      <c r="L40" s="65">
        <f t="shared" ref="L40" si="85">(K40+J40)/E40</f>
        <v>10</v>
      </c>
      <c r="M40" s="65">
        <f t="shared" ref="M40" si="86">L40*E40</f>
        <v>8000</v>
      </c>
    </row>
    <row r="41" spans="1:13" ht="15" customHeight="1">
      <c r="A41" s="63">
        <v>44102</v>
      </c>
      <c r="B41" s="55" t="s">
        <v>29</v>
      </c>
      <c r="C41" s="56" t="s">
        <v>16</v>
      </c>
      <c r="D41" s="56">
        <v>190</v>
      </c>
      <c r="E41" s="57">
        <v>5000</v>
      </c>
      <c r="F41" s="55" t="s">
        <v>15</v>
      </c>
      <c r="G41" s="58">
        <v>10</v>
      </c>
      <c r="H41" s="58">
        <v>11</v>
      </c>
      <c r="I41" s="58">
        <v>0</v>
      </c>
      <c r="J41" s="64">
        <f t="shared" ref="J41:J42" si="87">(IF(F41="SELL",G41-H41,IF(F41="BUY",H41-G41)))*E41</f>
        <v>5000</v>
      </c>
      <c r="K41" s="64">
        <v>0</v>
      </c>
      <c r="L41" s="65">
        <f t="shared" ref="L41:L42" si="88">(K41+J41)/E41</f>
        <v>1</v>
      </c>
      <c r="M41" s="65">
        <f t="shared" ref="M41:M42" si="89">L41*E41</f>
        <v>5000</v>
      </c>
    </row>
    <row r="42" spans="1:13" ht="15" customHeight="1">
      <c r="A42" s="63">
        <v>44102</v>
      </c>
      <c r="B42" s="55" t="s">
        <v>192</v>
      </c>
      <c r="C42" s="56" t="s">
        <v>16</v>
      </c>
      <c r="D42" s="56">
        <v>1260</v>
      </c>
      <c r="E42" s="57">
        <v>1100</v>
      </c>
      <c r="F42" s="55" t="s">
        <v>15</v>
      </c>
      <c r="G42" s="58">
        <v>53</v>
      </c>
      <c r="H42" s="58">
        <v>61</v>
      </c>
      <c r="I42" s="58">
        <v>70</v>
      </c>
      <c r="J42" s="64">
        <f t="shared" si="87"/>
        <v>8800</v>
      </c>
      <c r="K42" s="64">
        <f>E42*9</f>
        <v>9900</v>
      </c>
      <c r="L42" s="65">
        <f t="shared" si="88"/>
        <v>17</v>
      </c>
      <c r="M42" s="65">
        <f t="shared" si="89"/>
        <v>18700</v>
      </c>
    </row>
    <row r="43" spans="1:13" ht="15" customHeight="1">
      <c r="A43" s="63">
        <v>44099</v>
      </c>
      <c r="B43" s="55" t="s">
        <v>122</v>
      </c>
      <c r="C43" s="56" t="s">
        <v>16</v>
      </c>
      <c r="D43" s="56">
        <v>70</v>
      </c>
      <c r="E43" s="57">
        <v>9000</v>
      </c>
      <c r="F43" s="55" t="s">
        <v>15</v>
      </c>
      <c r="G43" s="58">
        <v>5.5</v>
      </c>
      <c r="H43" s="58">
        <v>6.4</v>
      </c>
      <c r="I43" s="58">
        <v>7.5</v>
      </c>
      <c r="J43" s="64">
        <f t="shared" ref="J43" si="90">(IF(F43="SELL",G43-H43,IF(F43="BUY",H43-G43)))*E43</f>
        <v>8100.0000000000036</v>
      </c>
      <c r="K43" s="64">
        <f>E43*1.1</f>
        <v>9900</v>
      </c>
      <c r="L43" s="65">
        <f t="shared" ref="L43" si="91">(K43+J43)/E43</f>
        <v>2.0000000000000004</v>
      </c>
      <c r="M43" s="65">
        <f t="shared" ref="M43" si="92">L43*E43</f>
        <v>18000.000000000004</v>
      </c>
    </row>
    <row r="44" spans="1:13" ht="15" customHeight="1">
      <c r="A44" s="63">
        <v>44098</v>
      </c>
      <c r="B44" s="55" t="s">
        <v>140</v>
      </c>
      <c r="C44" s="56" t="s">
        <v>16</v>
      </c>
      <c r="D44" s="56">
        <v>180</v>
      </c>
      <c r="E44" s="57">
        <v>2800</v>
      </c>
      <c r="F44" s="55" t="s">
        <v>15</v>
      </c>
      <c r="G44" s="58">
        <v>10</v>
      </c>
      <c r="H44" s="55">
        <v>12.75</v>
      </c>
      <c r="I44" s="58">
        <v>14.25</v>
      </c>
      <c r="J44" s="64">
        <f t="shared" ref="J44" si="93">(IF(F44="SELL",G44-H44,IF(F44="BUY",H44-G44)))*E44</f>
        <v>7700</v>
      </c>
      <c r="K44" s="64">
        <f>E44*1.5</f>
        <v>4200</v>
      </c>
      <c r="L44" s="65">
        <f t="shared" ref="L44" si="94">(K44+J44)/E44</f>
        <v>4.25</v>
      </c>
      <c r="M44" s="65">
        <f t="shared" ref="M44" si="95">L44*E44</f>
        <v>11900</v>
      </c>
    </row>
    <row r="45" spans="1:13" ht="15" customHeight="1">
      <c r="A45" s="63">
        <v>44098</v>
      </c>
      <c r="B45" s="55" t="s">
        <v>29</v>
      </c>
      <c r="C45" s="56" t="s">
        <v>16</v>
      </c>
      <c r="D45" s="56">
        <v>5000</v>
      </c>
      <c r="E45" s="57">
        <v>5000</v>
      </c>
      <c r="F45" s="55" t="s">
        <v>15</v>
      </c>
      <c r="G45" s="58">
        <v>12.5</v>
      </c>
      <c r="H45" s="55">
        <v>10.95</v>
      </c>
      <c r="I45" s="58">
        <v>0</v>
      </c>
      <c r="J45" s="64">
        <f t="shared" ref="J45" si="96">(IF(F45="SELL",G45-H45,IF(F45="BUY",H45-G45)))*E45</f>
        <v>-7750.0000000000036</v>
      </c>
      <c r="K45" s="64">
        <v>0</v>
      </c>
      <c r="L45" s="65">
        <f t="shared" ref="L45" si="97">(K45+J45)/E45</f>
        <v>-1.5500000000000007</v>
      </c>
      <c r="M45" s="65">
        <f t="shared" ref="M45" si="98">L45*E45</f>
        <v>-7750.0000000000036</v>
      </c>
    </row>
    <row r="46" spans="1:13" ht="15" customHeight="1">
      <c r="A46" s="47">
        <v>44097</v>
      </c>
      <c r="B46" s="48" t="s">
        <v>124</v>
      </c>
      <c r="C46" s="49" t="s">
        <v>14</v>
      </c>
      <c r="D46" s="49">
        <v>135</v>
      </c>
      <c r="E46" s="50">
        <v>5700</v>
      </c>
      <c r="F46" s="48" t="s">
        <v>15</v>
      </c>
      <c r="G46" s="51">
        <v>2.5</v>
      </c>
      <c r="H46" s="51">
        <v>4</v>
      </c>
      <c r="I46" s="51">
        <v>6</v>
      </c>
      <c r="J46" s="52">
        <f t="shared" ref="J46" si="99">(IF(F46="SELL",G46-H46,IF(F46="BUY",H46-G46)))*E46</f>
        <v>8550</v>
      </c>
      <c r="K46" s="52">
        <f>E46*2</f>
        <v>11400</v>
      </c>
      <c r="L46" s="53">
        <f t="shared" ref="L46" si="100">(K46+J46)/E46</f>
        <v>3.5</v>
      </c>
      <c r="M46" s="53">
        <f t="shared" ref="M46" si="101">L46*E46</f>
        <v>19950</v>
      </c>
    </row>
    <row r="47" spans="1:13" ht="15" customHeight="1">
      <c r="A47" s="47">
        <v>44096</v>
      </c>
      <c r="B47" s="48" t="s">
        <v>68</v>
      </c>
      <c r="C47" s="49" t="s">
        <v>14</v>
      </c>
      <c r="D47" s="49">
        <v>5000</v>
      </c>
      <c r="E47" s="50">
        <v>250</v>
      </c>
      <c r="F47" s="48" t="s">
        <v>15</v>
      </c>
      <c r="G47" s="51">
        <v>52</v>
      </c>
      <c r="H47" s="48">
        <v>20</v>
      </c>
      <c r="I47" s="51">
        <v>0</v>
      </c>
      <c r="J47" s="52">
        <f t="shared" ref="J47" si="102">(IF(F47="SELL",G47-H47,IF(F47="BUY",H47-G47)))*E47</f>
        <v>-8000</v>
      </c>
      <c r="K47" s="52">
        <v>0</v>
      </c>
      <c r="L47" s="53">
        <f t="shared" ref="L47" si="103">(K47+J47)/E47</f>
        <v>-32</v>
      </c>
      <c r="M47" s="53">
        <f t="shared" ref="M47" si="104">L47*E47</f>
        <v>-8000</v>
      </c>
    </row>
    <row r="48" spans="1:13" ht="15" customHeight="1">
      <c r="A48" s="47">
        <v>44095</v>
      </c>
      <c r="B48" s="48" t="s">
        <v>99</v>
      </c>
      <c r="C48" s="49" t="s">
        <v>16</v>
      </c>
      <c r="D48" s="49">
        <v>860</v>
      </c>
      <c r="E48" s="50">
        <v>1400</v>
      </c>
      <c r="F48" s="48" t="s">
        <v>15</v>
      </c>
      <c r="G48" s="51">
        <v>10</v>
      </c>
      <c r="H48" s="51">
        <v>4</v>
      </c>
      <c r="I48" s="51">
        <v>0</v>
      </c>
      <c r="J48" s="52">
        <f t="shared" ref="J48" si="105">(IF(F48="SELL",G48-H48,IF(F48="BUY",H48-G48)))*E48</f>
        <v>-8400</v>
      </c>
      <c r="K48" s="52">
        <v>0</v>
      </c>
      <c r="L48" s="53">
        <f t="shared" ref="L48" si="106">(K48+J48)/E48</f>
        <v>-6</v>
      </c>
      <c r="M48" s="53">
        <f t="shared" ref="M48" si="107">L48*E48</f>
        <v>-8400</v>
      </c>
    </row>
    <row r="49" spans="1:13" ht="15" customHeight="1">
      <c r="A49" s="47">
        <v>44092</v>
      </c>
      <c r="B49" s="48" t="s">
        <v>17</v>
      </c>
      <c r="C49" s="49" t="s">
        <v>16</v>
      </c>
      <c r="D49" s="49">
        <v>160</v>
      </c>
      <c r="E49" s="50">
        <v>3300</v>
      </c>
      <c r="F49" s="48" t="s">
        <v>15</v>
      </c>
      <c r="G49" s="51">
        <v>4.5999999999999996</v>
      </c>
      <c r="H49" s="51">
        <v>6.8</v>
      </c>
      <c r="I49" s="51">
        <v>9.1</v>
      </c>
      <c r="J49" s="52">
        <f t="shared" ref="J49" si="108">(IF(F49="SELL",G49-H49,IF(F49="BUY",H49-G49)))*E49</f>
        <v>7260.0000000000009</v>
      </c>
      <c r="K49" s="52">
        <f>E49*2.3</f>
        <v>7589.9999999999991</v>
      </c>
      <c r="L49" s="53">
        <f t="shared" ref="L49" si="109">(K49+J49)/E49</f>
        <v>4.5</v>
      </c>
      <c r="M49" s="53">
        <f t="shared" ref="M49" si="110">L49*E49</f>
        <v>14850</v>
      </c>
    </row>
    <row r="50" spans="1:13" ht="15" customHeight="1">
      <c r="A50" s="47">
        <v>44091</v>
      </c>
      <c r="B50" s="48" t="s">
        <v>68</v>
      </c>
      <c r="C50" s="49" t="s">
        <v>16</v>
      </c>
      <c r="D50" s="49">
        <v>4800</v>
      </c>
      <c r="E50" s="50">
        <v>250</v>
      </c>
      <c r="F50" s="48" t="s">
        <v>15</v>
      </c>
      <c r="G50" s="51">
        <v>105</v>
      </c>
      <c r="H50" s="51">
        <v>120</v>
      </c>
      <c r="I50" s="51">
        <v>145</v>
      </c>
      <c r="J50" s="52">
        <f t="shared" ref="J50:J51" si="111">(IF(F50="SELL",G50-H50,IF(F50="BUY",H50-G50)))*E50</f>
        <v>3750</v>
      </c>
      <c r="K50" s="52">
        <f>E50*25</f>
        <v>6250</v>
      </c>
      <c r="L50" s="53">
        <f t="shared" ref="L50:L51" si="112">(K50+J50)/E50</f>
        <v>40</v>
      </c>
      <c r="M50" s="53">
        <f t="shared" ref="M50:M51" si="113">L50*E50</f>
        <v>10000</v>
      </c>
    </row>
    <row r="51" spans="1:13" ht="15" customHeight="1">
      <c r="A51" s="47">
        <v>44090</v>
      </c>
      <c r="B51" s="48" t="s">
        <v>154</v>
      </c>
      <c r="C51" s="49" t="s">
        <v>16</v>
      </c>
      <c r="D51" s="49">
        <v>170</v>
      </c>
      <c r="E51" s="50">
        <v>6000</v>
      </c>
      <c r="F51" s="48" t="s">
        <v>15</v>
      </c>
      <c r="G51" s="51">
        <v>2.75</v>
      </c>
      <c r="H51" s="48">
        <v>1.55</v>
      </c>
      <c r="I51" s="51">
        <v>0</v>
      </c>
      <c r="J51" s="52">
        <f t="shared" si="111"/>
        <v>-7200</v>
      </c>
      <c r="K51" s="52">
        <v>0</v>
      </c>
      <c r="L51" s="53">
        <f t="shared" si="112"/>
        <v>-1.2</v>
      </c>
      <c r="M51" s="53">
        <f t="shared" si="113"/>
        <v>-7200</v>
      </c>
    </row>
    <row r="52" spans="1:13" ht="15" customHeight="1">
      <c r="A52" s="47">
        <v>44090</v>
      </c>
      <c r="B52" s="48" t="s">
        <v>122</v>
      </c>
      <c r="C52" s="49" t="s">
        <v>16</v>
      </c>
      <c r="D52" s="49">
        <v>80</v>
      </c>
      <c r="E52" s="50">
        <v>9000</v>
      </c>
      <c r="F52" s="48" t="s">
        <v>15</v>
      </c>
      <c r="G52" s="51">
        <v>2.2999999999999998</v>
      </c>
      <c r="H52" s="51">
        <v>3</v>
      </c>
      <c r="I52" s="51">
        <v>0</v>
      </c>
      <c r="J52" s="52">
        <f t="shared" ref="J52" si="114">(IF(F52="SELL",G52-H52,IF(F52="BUY",H52-G52)))*E52</f>
        <v>6300.0000000000018</v>
      </c>
      <c r="K52" s="52">
        <v>0</v>
      </c>
      <c r="L52" s="53">
        <f t="shared" ref="L52" si="115">(K52+J52)/E52</f>
        <v>0.70000000000000018</v>
      </c>
      <c r="M52" s="53">
        <f t="shared" ref="M52" si="116">L52*E52</f>
        <v>6300.0000000000018</v>
      </c>
    </row>
    <row r="53" spans="1:13" ht="15" customHeight="1">
      <c r="A53" s="47">
        <v>44089</v>
      </c>
      <c r="B53" s="48" t="s">
        <v>130</v>
      </c>
      <c r="C53" s="49" t="s">
        <v>16</v>
      </c>
      <c r="D53" s="49">
        <v>480</v>
      </c>
      <c r="E53" s="50">
        <v>1851</v>
      </c>
      <c r="F53" s="48" t="s">
        <v>15</v>
      </c>
      <c r="G53" s="51">
        <v>16</v>
      </c>
      <c r="H53" s="51">
        <v>17.2</v>
      </c>
      <c r="I53" s="51">
        <v>0</v>
      </c>
      <c r="J53" s="52">
        <f t="shared" ref="J53" si="117">(IF(F53="SELL",G53-H53,IF(F53="BUY",H53-G53)))*E53</f>
        <v>2221.1999999999989</v>
      </c>
      <c r="K53" s="52">
        <v>0</v>
      </c>
      <c r="L53" s="53">
        <f t="shared" ref="L53" si="118">(K53+J53)/E53</f>
        <v>1.1999999999999995</v>
      </c>
      <c r="M53" s="53">
        <f t="shared" ref="M53" si="119">L53*E53</f>
        <v>2221.1999999999989</v>
      </c>
    </row>
    <row r="54" spans="1:13" ht="15" customHeight="1">
      <c r="A54" s="47">
        <v>44088</v>
      </c>
      <c r="B54" s="48" t="s">
        <v>154</v>
      </c>
      <c r="C54" s="49" t="s">
        <v>16</v>
      </c>
      <c r="D54" s="49">
        <v>160</v>
      </c>
      <c r="E54" s="50">
        <v>6000</v>
      </c>
      <c r="F54" s="48" t="s">
        <v>15</v>
      </c>
      <c r="G54" s="51">
        <v>7</v>
      </c>
      <c r="H54" s="51">
        <v>5.5</v>
      </c>
      <c r="I54" s="51">
        <v>0</v>
      </c>
      <c r="J54" s="52">
        <f t="shared" ref="J54" si="120">(IF(F54="SELL",G54-H54,IF(F54="BUY",H54-G54)))*E54</f>
        <v>-9000</v>
      </c>
      <c r="K54" s="52">
        <v>0</v>
      </c>
      <c r="L54" s="53">
        <f t="shared" ref="L54" si="121">(K54+J54)/E54</f>
        <v>-1.5</v>
      </c>
      <c r="M54" s="53">
        <f t="shared" ref="M54" si="122">L54*E54</f>
        <v>-9000</v>
      </c>
    </row>
    <row r="55" spans="1:13" ht="15" customHeight="1">
      <c r="A55" s="47">
        <v>44088</v>
      </c>
      <c r="B55" s="48" t="s">
        <v>192</v>
      </c>
      <c r="C55" s="49" t="s">
        <v>16</v>
      </c>
      <c r="D55" s="49">
        <v>1300</v>
      </c>
      <c r="E55" s="50">
        <v>1100</v>
      </c>
      <c r="F55" s="48" t="s">
        <v>15</v>
      </c>
      <c r="G55" s="51">
        <v>17.5</v>
      </c>
      <c r="H55" s="51">
        <v>25</v>
      </c>
      <c r="I55" s="51">
        <v>32.450000000000003</v>
      </c>
      <c r="J55" s="52">
        <f t="shared" ref="J55" si="123">(IF(F55="SELL",G55-H55,IF(F55="BUY",H55-G55)))*E55</f>
        <v>8250</v>
      </c>
      <c r="K55" s="52">
        <f>E55*7.45</f>
        <v>8195</v>
      </c>
      <c r="L55" s="53">
        <f t="shared" ref="L55" si="124">(K55+J55)/E55</f>
        <v>14.95</v>
      </c>
      <c r="M55" s="53">
        <f t="shared" ref="M55" si="125">L55*E55</f>
        <v>16445</v>
      </c>
    </row>
    <row r="56" spans="1:13" ht="15" customHeight="1">
      <c r="A56" s="47">
        <v>44085</v>
      </c>
      <c r="B56" s="48" t="s">
        <v>138</v>
      </c>
      <c r="C56" s="49" t="s">
        <v>16</v>
      </c>
      <c r="D56" s="49">
        <v>2400</v>
      </c>
      <c r="E56" s="50">
        <v>505</v>
      </c>
      <c r="F56" s="48" t="s">
        <v>15</v>
      </c>
      <c r="G56" s="51">
        <v>45</v>
      </c>
      <c r="H56" s="51">
        <v>43.25</v>
      </c>
      <c r="I56" s="51">
        <v>0</v>
      </c>
      <c r="J56" s="52">
        <f t="shared" ref="J56" si="126">(IF(F56="SELL",G56-H56,IF(F56="BUY",H56-G56)))*E56</f>
        <v>-883.75</v>
      </c>
      <c r="K56" s="52">
        <v>0</v>
      </c>
      <c r="L56" s="53">
        <f t="shared" ref="L56" si="127">(K56+J56)/E56</f>
        <v>-1.75</v>
      </c>
      <c r="M56" s="53">
        <f t="shared" ref="M56" si="128">L56*E56</f>
        <v>-883.75</v>
      </c>
    </row>
    <row r="57" spans="1:13" ht="15" customHeight="1">
      <c r="A57" s="47">
        <v>44084</v>
      </c>
      <c r="B57" s="48" t="s">
        <v>124</v>
      </c>
      <c r="C57" s="49" t="s">
        <v>14</v>
      </c>
      <c r="D57" s="49">
        <v>140</v>
      </c>
      <c r="E57" s="50">
        <v>5700</v>
      </c>
      <c r="F57" s="48" t="s">
        <v>15</v>
      </c>
      <c r="G57" s="51">
        <v>6</v>
      </c>
      <c r="H57" s="51">
        <v>7</v>
      </c>
      <c r="I57" s="51">
        <v>0</v>
      </c>
      <c r="J57" s="52">
        <f t="shared" ref="J57" si="129">(IF(F57="SELL",G57-H57,IF(F57="BUY",H57-G57)))*E57</f>
        <v>5700</v>
      </c>
      <c r="K57" s="52">
        <v>0</v>
      </c>
      <c r="L57" s="53">
        <f t="shared" ref="L57" si="130">(K57+J57)/E57</f>
        <v>1</v>
      </c>
      <c r="M57" s="53">
        <f t="shared" ref="M57" si="131">L57*E57</f>
        <v>5700</v>
      </c>
    </row>
    <row r="58" spans="1:13" ht="15" customHeight="1">
      <c r="A58" s="47">
        <v>44083</v>
      </c>
      <c r="B58" s="48" t="s">
        <v>46</v>
      </c>
      <c r="C58" s="49" t="s">
        <v>16</v>
      </c>
      <c r="D58" s="49">
        <v>480</v>
      </c>
      <c r="E58" s="50">
        <v>1500</v>
      </c>
      <c r="F58" s="48" t="s">
        <v>15</v>
      </c>
      <c r="G58" s="51">
        <v>15</v>
      </c>
      <c r="H58" s="51">
        <v>14</v>
      </c>
      <c r="I58" s="51">
        <v>0</v>
      </c>
      <c r="J58" s="52">
        <f t="shared" ref="J58" si="132">(IF(F58="SELL",G58-H58,IF(F58="BUY",H58-G58)))*E58</f>
        <v>-1500</v>
      </c>
      <c r="K58" s="52">
        <v>0</v>
      </c>
      <c r="L58" s="53">
        <f t="shared" ref="L58" si="133">(K58+J58)/E58</f>
        <v>-1</v>
      </c>
      <c r="M58" s="53">
        <f t="shared" ref="M58" si="134">L58*E58</f>
        <v>-1500</v>
      </c>
    </row>
    <row r="59" spans="1:13" ht="15" customHeight="1">
      <c r="A59" s="47">
        <v>44083</v>
      </c>
      <c r="B59" s="48" t="s">
        <v>192</v>
      </c>
      <c r="C59" s="49" t="s">
        <v>16</v>
      </c>
      <c r="D59" s="49">
        <v>1200</v>
      </c>
      <c r="E59" s="50">
        <v>1100</v>
      </c>
      <c r="F59" s="48" t="s">
        <v>15</v>
      </c>
      <c r="G59" s="51">
        <v>22</v>
      </c>
      <c r="H59" s="51">
        <v>27</v>
      </c>
      <c r="I59" s="51">
        <v>33</v>
      </c>
      <c r="J59" s="52">
        <f t="shared" ref="J59" si="135">(IF(F59="SELL",G59-H59,IF(F59="BUY",H59-G59)))*E59</f>
        <v>5500</v>
      </c>
      <c r="K59" s="52">
        <f>E59*6</f>
        <v>6600</v>
      </c>
      <c r="L59" s="53">
        <f t="shared" ref="L59" si="136">(K59+J59)/E59</f>
        <v>11</v>
      </c>
      <c r="M59" s="53">
        <f t="shared" ref="M59" si="137">L59*E59</f>
        <v>12100</v>
      </c>
    </row>
    <row r="60" spans="1:13" ht="15" customHeight="1">
      <c r="A60" s="47">
        <v>44082</v>
      </c>
      <c r="B60" s="48" t="s">
        <v>97</v>
      </c>
      <c r="C60" s="49" t="s">
        <v>16</v>
      </c>
      <c r="D60" s="49">
        <v>420</v>
      </c>
      <c r="E60" s="50">
        <v>2300</v>
      </c>
      <c r="F60" s="48" t="s">
        <v>15</v>
      </c>
      <c r="G60" s="51">
        <v>18</v>
      </c>
      <c r="H60" s="51">
        <v>16.899999999999999</v>
      </c>
      <c r="I60" s="51">
        <v>0</v>
      </c>
      <c r="J60" s="52">
        <f t="shared" ref="J60" si="138">(IF(F60="SELL",G60-H60,IF(F60="BUY",H60-G60)))*E60</f>
        <v>-2530.0000000000032</v>
      </c>
      <c r="K60" s="52">
        <v>0</v>
      </c>
      <c r="L60" s="53">
        <f t="shared" ref="L60" si="139">(K60+J60)/E60</f>
        <v>-1.1000000000000014</v>
      </c>
      <c r="M60" s="53">
        <f t="shared" ref="M60" si="140">L60*E60</f>
        <v>-2530.0000000000032</v>
      </c>
    </row>
    <row r="61" spans="1:13" ht="15" customHeight="1">
      <c r="A61" s="47">
        <v>44082</v>
      </c>
      <c r="B61" s="48" t="s">
        <v>192</v>
      </c>
      <c r="C61" s="49" t="s">
        <v>14</v>
      </c>
      <c r="D61" s="49">
        <v>1100</v>
      </c>
      <c r="E61" s="50">
        <v>1100</v>
      </c>
      <c r="F61" s="48" t="s">
        <v>15</v>
      </c>
      <c r="G61" s="51">
        <v>27.85</v>
      </c>
      <c r="H61" s="51">
        <v>31</v>
      </c>
      <c r="I61" s="51">
        <v>0</v>
      </c>
      <c r="J61" s="52">
        <f t="shared" ref="J61" si="141">(IF(F61="SELL",G61-H61,IF(F61="BUY",H61-G61)))*E61</f>
        <v>3464.9999999999986</v>
      </c>
      <c r="K61" s="52">
        <v>0</v>
      </c>
      <c r="L61" s="53">
        <f t="shared" ref="L61" si="142">(K61+J61)/E61</f>
        <v>3.1499999999999986</v>
      </c>
      <c r="M61" s="53">
        <f t="shared" ref="M61" si="143">L61*E61</f>
        <v>3464.9999999999986</v>
      </c>
    </row>
    <row r="62" spans="1:13" ht="15" customHeight="1">
      <c r="A62" s="47">
        <v>44081</v>
      </c>
      <c r="B62" s="48" t="s">
        <v>206</v>
      </c>
      <c r="C62" s="49" t="s">
        <v>16</v>
      </c>
      <c r="D62" s="49">
        <v>280</v>
      </c>
      <c r="E62" s="50">
        <v>3200</v>
      </c>
      <c r="F62" s="48" t="s">
        <v>15</v>
      </c>
      <c r="G62" s="51">
        <v>7.5</v>
      </c>
      <c r="H62" s="51">
        <v>8.1</v>
      </c>
      <c r="I62" s="51">
        <v>0</v>
      </c>
      <c r="J62" s="52">
        <f t="shared" ref="J62" si="144">(IF(F62="SELL",G62-H62,IF(F62="BUY",H62-G62)))*E62</f>
        <v>1919.9999999999989</v>
      </c>
      <c r="K62" s="52">
        <v>0</v>
      </c>
      <c r="L62" s="53">
        <f t="shared" ref="L62" si="145">(K62+J62)/E62</f>
        <v>0.59999999999999964</v>
      </c>
      <c r="M62" s="53">
        <f t="shared" ref="M62" si="146">L62*E62</f>
        <v>1919.9999999999989</v>
      </c>
    </row>
    <row r="63" spans="1:13" ht="15" customHeight="1">
      <c r="A63" s="47">
        <v>44077</v>
      </c>
      <c r="B63" s="48" t="s">
        <v>114</v>
      </c>
      <c r="C63" s="49" t="s">
        <v>16</v>
      </c>
      <c r="D63" s="49">
        <v>300</v>
      </c>
      <c r="E63" s="50">
        <v>4000</v>
      </c>
      <c r="F63" s="48" t="s">
        <v>15</v>
      </c>
      <c r="G63" s="51">
        <v>17</v>
      </c>
      <c r="H63" s="51">
        <v>19</v>
      </c>
      <c r="I63" s="51">
        <v>0</v>
      </c>
      <c r="J63" s="52">
        <f t="shared" ref="J63" si="147">(IF(F63="SELL",G63-H63,IF(F63="BUY",H63-G63)))*E63</f>
        <v>8000</v>
      </c>
      <c r="K63" s="52">
        <v>0</v>
      </c>
      <c r="L63" s="53">
        <f t="shared" ref="L63" si="148">(K63+J63)/E63</f>
        <v>2</v>
      </c>
      <c r="M63" s="53">
        <f t="shared" ref="M63" si="149">L63*E63</f>
        <v>8000</v>
      </c>
    </row>
    <row r="64" spans="1:13" ht="15" customHeight="1">
      <c r="A64" s="47">
        <v>44074</v>
      </c>
      <c r="B64" s="48" t="s">
        <v>61</v>
      </c>
      <c r="C64" s="49" t="s">
        <v>16</v>
      </c>
      <c r="D64" s="49">
        <v>135</v>
      </c>
      <c r="E64" s="50">
        <v>3444</v>
      </c>
      <c r="F64" s="48" t="s">
        <v>15</v>
      </c>
      <c r="G64" s="51">
        <v>6.2</v>
      </c>
      <c r="H64" s="51">
        <v>7.5</v>
      </c>
      <c r="I64" s="51">
        <v>8.5</v>
      </c>
      <c r="J64" s="52">
        <f t="shared" ref="J64" si="150">(IF(F64="SELL",G64-H64,IF(F64="BUY",H64-G64)))*E64</f>
        <v>4477.2</v>
      </c>
      <c r="K64" s="52">
        <f>E64</f>
        <v>3444</v>
      </c>
      <c r="L64" s="53">
        <f t="shared" ref="L64" si="151">(K64+J64)/E64</f>
        <v>2.2999999999999998</v>
      </c>
      <c r="M64" s="53">
        <f t="shared" ref="M64" si="152">L64*E64</f>
        <v>7921.2</v>
      </c>
    </row>
    <row r="65" spans="1:13" ht="15" customHeight="1">
      <c r="A65" s="47">
        <v>44071</v>
      </c>
      <c r="B65" s="48" t="s">
        <v>201</v>
      </c>
      <c r="C65" s="49" t="s">
        <v>16</v>
      </c>
      <c r="D65" s="49">
        <v>1540</v>
      </c>
      <c r="E65" s="50">
        <v>800</v>
      </c>
      <c r="F65" s="48" t="s">
        <v>15</v>
      </c>
      <c r="G65" s="51">
        <v>18</v>
      </c>
      <c r="H65" s="51">
        <v>28</v>
      </c>
      <c r="I65" s="51">
        <v>0</v>
      </c>
      <c r="J65" s="52">
        <f t="shared" ref="J65" si="153">(IF(F65="SELL",G65-H65,IF(F65="BUY",H65-G65)))*E65</f>
        <v>8000</v>
      </c>
      <c r="K65" s="52">
        <v>0</v>
      </c>
      <c r="L65" s="53">
        <f t="shared" ref="L65" si="154">(K65+J65)/E65</f>
        <v>10</v>
      </c>
      <c r="M65" s="53">
        <f t="shared" ref="M65" si="155">L65*E65</f>
        <v>8000</v>
      </c>
    </row>
    <row r="66" spans="1:13" ht="15" customHeight="1">
      <c r="A66" s="47">
        <v>44071</v>
      </c>
      <c r="B66" s="48" t="s">
        <v>205</v>
      </c>
      <c r="C66" s="49" t="s">
        <v>16</v>
      </c>
      <c r="D66" s="49">
        <v>1500</v>
      </c>
      <c r="E66" s="50">
        <v>800</v>
      </c>
      <c r="F66" s="48" t="s">
        <v>15</v>
      </c>
      <c r="G66" s="51">
        <v>24.5</v>
      </c>
      <c r="H66" s="51">
        <v>19</v>
      </c>
      <c r="I66" s="51">
        <v>0</v>
      </c>
      <c r="J66" s="52">
        <f t="shared" ref="J66" si="156">(IF(F66="SELL",G66-H66,IF(F66="BUY",H66-G66)))*E66</f>
        <v>-4400</v>
      </c>
      <c r="K66" s="52">
        <v>0</v>
      </c>
      <c r="L66" s="53">
        <f t="shared" ref="L66" si="157">(K66+J66)/E66</f>
        <v>-5.5</v>
      </c>
      <c r="M66" s="53">
        <f t="shared" ref="M66" si="158">L66*E66</f>
        <v>-4400</v>
      </c>
    </row>
    <row r="67" spans="1:13" ht="15" customHeight="1">
      <c r="A67" s="47">
        <v>44070</v>
      </c>
      <c r="B67" s="48" t="s">
        <v>192</v>
      </c>
      <c r="C67" s="49" t="s">
        <v>16</v>
      </c>
      <c r="D67" s="49">
        <v>1200</v>
      </c>
      <c r="E67" s="50">
        <v>1100</v>
      </c>
      <c r="F67" s="48" t="s">
        <v>15</v>
      </c>
      <c r="G67" s="51">
        <v>36</v>
      </c>
      <c r="H67" s="51">
        <v>41.8</v>
      </c>
      <c r="I67" s="51">
        <v>0</v>
      </c>
      <c r="J67" s="52">
        <f t="shared" ref="J67" si="159">(IF(F67="SELL",G67-H67,IF(F67="BUY",H67-G67)))*E67</f>
        <v>6379.9999999999973</v>
      </c>
      <c r="K67" s="52">
        <v>0</v>
      </c>
      <c r="L67" s="53">
        <f t="shared" ref="L67" si="160">(K67+J67)/E67</f>
        <v>5.7999999999999972</v>
      </c>
      <c r="M67" s="53">
        <f t="shared" ref="M67" si="161">L67*E67</f>
        <v>6379.9999999999973</v>
      </c>
    </row>
    <row r="68" spans="1:13" ht="15" customHeight="1">
      <c r="A68" s="47">
        <v>44069</v>
      </c>
      <c r="B68" s="48" t="s">
        <v>198</v>
      </c>
      <c r="C68" s="49" t="s">
        <v>16</v>
      </c>
      <c r="D68" s="49">
        <v>460</v>
      </c>
      <c r="E68" s="50">
        <v>2400</v>
      </c>
      <c r="F68" s="48" t="s">
        <v>15</v>
      </c>
      <c r="G68" s="51">
        <v>5.5</v>
      </c>
      <c r="H68" s="51">
        <v>6.6</v>
      </c>
      <c r="I68" s="51">
        <v>0</v>
      </c>
      <c r="J68" s="52">
        <f t="shared" ref="J68" si="162">(IF(F68="SELL",G68-H68,IF(F68="BUY",H68-G68)))*E68</f>
        <v>2639.9999999999991</v>
      </c>
      <c r="K68" s="52">
        <v>0</v>
      </c>
      <c r="L68" s="53">
        <f t="shared" ref="L68" si="163">(K68+J68)/E68</f>
        <v>1.0999999999999996</v>
      </c>
      <c r="M68" s="53">
        <f t="shared" ref="M68" si="164">L68*E68</f>
        <v>2639.9999999999991</v>
      </c>
    </row>
    <row r="69" spans="1:13" ht="15" customHeight="1">
      <c r="A69" s="47">
        <v>44068</v>
      </c>
      <c r="B69" s="48" t="s">
        <v>160</v>
      </c>
      <c r="C69" s="49" t="s">
        <v>16</v>
      </c>
      <c r="D69" s="49">
        <v>6400</v>
      </c>
      <c r="E69" s="50">
        <v>125</v>
      </c>
      <c r="F69" s="48" t="s">
        <v>15</v>
      </c>
      <c r="G69" s="51">
        <v>145</v>
      </c>
      <c r="H69" s="51">
        <v>99</v>
      </c>
      <c r="I69" s="51">
        <v>0</v>
      </c>
      <c r="J69" s="52">
        <f t="shared" ref="J69" si="165">(IF(F69="SELL",G69-H69,IF(F69="BUY",H69-G69)))*E69</f>
        <v>-5750</v>
      </c>
      <c r="K69" s="52">
        <v>0</v>
      </c>
      <c r="L69" s="53">
        <f t="shared" ref="L69" si="166">(K69+J69)/E69</f>
        <v>-46</v>
      </c>
      <c r="M69" s="53">
        <f t="shared" ref="M69" si="167">L69*E69</f>
        <v>-5750</v>
      </c>
    </row>
    <row r="70" spans="1:13" ht="15" customHeight="1">
      <c r="A70" s="47">
        <v>44068</v>
      </c>
      <c r="B70" s="48" t="s">
        <v>169</v>
      </c>
      <c r="C70" s="49" t="s">
        <v>16</v>
      </c>
      <c r="D70" s="49">
        <v>1700</v>
      </c>
      <c r="E70" s="50">
        <v>500</v>
      </c>
      <c r="F70" s="48" t="s">
        <v>15</v>
      </c>
      <c r="G70" s="51">
        <v>29</v>
      </c>
      <c r="H70" s="51">
        <v>18.899999999999999</v>
      </c>
      <c r="I70" s="51">
        <v>0</v>
      </c>
      <c r="J70" s="52">
        <f t="shared" ref="J70" si="168">(IF(F70="SELL",G70-H70,IF(F70="BUY",H70-G70)))*E70</f>
        <v>-5050.0000000000009</v>
      </c>
      <c r="K70" s="52">
        <v>0</v>
      </c>
      <c r="L70" s="53">
        <f t="shared" ref="L70" si="169">(K70+J70)/E70</f>
        <v>-10.100000000000001</v>
      </c>
      <c r="M70" s="53">
        <f t="shared" ref="M70" si="170">L70*E70</f>
        <v>-5050.0000000000009</v>
      </c>
    </row>
    <row r="71" spans="1:13" ht="15" customHeight="1">
      <c r="A71" s="47">
        <v>44067</v>
      </c>
      <c r="B71" s="48" t="s">
        <v>121</v>
      </c>
      <c r="C71" s="49" t="s">
        <v>16</v>
      </c>
      <c r="D71" s="49">
        <v>3450</v>
      </c>
      <c r="E71" s="50">
        <v>250</v>
      </c>
      <c r="F71" s="48" t="s">
        <v>15</v>
      </c>
      <c r="G71" s="51">
        <v>72</v>
      </c>
      <c r="H71" s="51">
        <v>97</v>
      </c>
      <c r="I71" s="51">
        <v>0</v>
      </c>
      <c r="J71" s="52">
        <f t="shared" ref="J71" si="171">(IF(F71="SELL",G71-H71,IF(F71="BUY",H71-G71)))*E71</f>
        <v>6250</v>
      </c>
      <c r="K71" s="52">
        <v>0</v>
      </c>
      <c r="L71" s="53">
        <f t="shared" ref="L71" si="172">(K71+J71)/E71</f>
        <v>25</v>
      </c>
      <c r="M71" s="53">
        <f t="shared" ref="M71" si="173">L71*E71</f>
        <v>6250</v>
      </c>
    </row>
    <row r="72" spans="1:13" ht="15" customHeight="1">
      <c r="A72" s="47">
        <v>44064</v>
      </c>
      <c r="B72" s="48" t="s">
        <v>204</v>
      </c>
      <c r="C72" s="49" t="s">
        <v>16</v>
      </c>
      <c r="D72" s="49">
        <v>1900</v>
      </c>
      <c r="E72" s="50">
        <v>600</v>
      </c>
      <c r="F72" s="48" t="s">
        <v>15</v>
      </c>
      <c r="G72" s="51">
        <v>28</v>
      </c>
      <c r="H72" s="51">
        <v>40</v>
      </c>
      <c r="I72" s="51">
        <v>53</v>
      </c>
      <c r="J72" s="52">
        <f t="shared" ref="J72" si="174">(IF(F72="SELL",G72-H72,IF(F72="BUY",H72-G72)))*E72</f>
        <v>7200</v>
      </c>
      <c r="K72" s="52">
        <f>600*13</f>
        <v>7800</v>
      </c>
      <c r="L72" s="53">
        <f t="shared" ref="L72" si="175">(K72+J72)/E72</f>
        <v>25</v>
      </c>
      <c r="M72" s="53">
        <f t="shared" ref="M72" si="176">L72*E72</f>
        <v>15000</v>
      </c>
    </row>
    <row r="73" spans="1:13" ht="15" customHeight="1">
      <c r="A73" s="47">
        <v>44062</v>
      </c>
      <c r="B73" s="48" t="s">
        <v>204</v>
      </c>
      <c r="C73" s="49" t="s">
        <v>16</v>
      </c>
      <c r="D73" s="49">
        <v>1800</v>
      </c>
      <c r="E73" s="50">
        <v>600</v>
      </c>
      <c r="F73" s="48" t="s">
        <v>15</v>
      </c>
      <c r="G73" s="51">
        <v>42</v>
      </c>
      <c r="H73" s="51">
        <v>27</v>
      </c>
      <c r="I73" s="51">
        <v>0</v>
      </c>
      <c r="J73" s="52">
        <f t="shared" ref="J73" si="177">(IF(F73="SELL",G73-H73,IF(F73="BUY",H73-G73)))*E73</f>
        <v>-9000</v>
      </c>
      <c r="K73" s="52">
        <v>0</v>
      </c>
      <c r="L73" s="53">
        <f t="shared" ref="L73" si="178">(K73+J73)/E73</f>
        <v>-15</v>
      </c>
      <c r="M73" s="53">
        <f t="shared" ref="M73" si="179">L73*E73</f>
        <v>-9000</v>
      </c>
    </row>
    <row r="74" spans="1:13" ht="15" customHeight="1">
      <c r="A74" s="47">
        <v>44061</v>
      </c>
      <c r="B74" s="48" t="s">
        <v>204</v>
      </c>
      <c r="C74" s="49" t="s">
        <v>16</v>
      </c>
      <c r="D74" s="49">
        <v>1800</v>
      </c>
      <c r="E74" s="50">
        <v>600</v>
      </c>
      <c r="F74" s="48" t="s">
        <v>15</v>
      </c>
      <c r="G74" s="51">
        <v>52</v>
      </c>
      <c r="H74" s="51">
        <v>68</v>
      </c>
      <c r="I74" s="51">
        <f>600*7.5</f>
        <v>4500</v>
      </c>
      <c r="J74" s="52">
        <f t="shared" ref="J74" si="180">(IF(F74="SELL",G74-H74,IF(F74="BUY",H74-G74)))*E74</f>
        <v>9600</v>
      </c>
      <c r="K74" s="52">
        <v>0</v>
      </c>
      <c r="L74" s="53">
        <f t="shared" ref="L74" si="181">(K74+J74)/E74</f>
        <v>16</v>
      </c>
      <c r="M74" s="53">
        <f t="shared" ref="M74" si="182">L74*E74</f>
        <v>9600</v>
      </c>
    </row>
    <row r="75" spans="1:13" ht="15" customHeight="1">
      <c r="A75" s="47">
        <v>44060</v>
      </c>
      <c r="B75" s="48" t="s">
        <v>204</v>
      </c>
      <c r="C75" s="49" t="s">
        <v>16</v>
      </c>
      <c r="D75" s="49">
        <v>1800</v>
      </c>
      <c r="E75" s="50">
        <v>600</v>
      </c>
      <c r="F75" s="48" t="s">
        <v>15</v>
      </c>
      <c r="G75" s="51">
        <v>56</v>
      </c>
      <c r="H75" s="51">
        <v>63.7</v>
      </c>
      <c r="I75" s="51">
        <v>0</v>
      </c>
      <c r="J75" s="52">
        <f t="shared" ref="J75" si="183">(IF(F75="SELL",G75-H75,IF(F75="BUY",H75-G75)))*E75</f>
        <v>4620.0000000000018</v>
      </c>
      <c r="K75" s="52">
        <v>0</v>
      </c>
      <c r="L75" s="53">
        <f t="shared" ref="L75" si="184">(K75+J75)/E75</f>
        <v>7.7000000000000028</v>
      </c>
      <c r="M75" s="53">
        <f t="shared" ref="M75" si="185">L75*E75</f>
        <v>4620.0000000000018</v>
      </c>
    </row>
    <row r="76" spans="1:13" ht="15" customHeight="1">
      <c r="A76" s="47">
        <v>44057</v>
      </c>
      <c r="B76" s="48" t="s">
        <v>29</v>
      </c>
      <c r="C76" s="49" t="s">
        <v>16</v>
      </c>
      <c r="D76" s="49">
        <v>230</v>
      </c>
      <c r="E76" s="50">
        <v>5000</v>
      </c>
      <c r="F76" s="48" t="s">
        <v>15</v>
      </c>
      <c r="G76" s="51">
        <v>4.0999999999999996</v>
      </c>
      <c r="H76" s="51">
        <v>5.0999999999999996</v>
      </c>
      <c r="I76" s="51">
        <v>0</v>
      </c>
      <c r="J76" s="52">
        <f t="shared" ref="J76" si="186">(IF(F76="SELL",G76-H76,IF(F76="BUY",H76-G76)))*E76</f>
        <v>5000</v>
      </c>
      <c r="K76" s="52">
        <v>0</v>
      </c>
      <c r="L76" s="53">
        <f t="shared" ref="L76" si="187">(K76+J76)/E76</f>
        <v>1</v>
      </c>
      <c r="M76" s="53">
        <f t="shared" ref="M76" si="188">L76*E76</f>
        <v>5000</v>
      </c>
    </row>
    <row r="77" spans="1:13" ht="15" customHeight="1">
      <c r="A77" s="47">
        <v>44056</v>
      </c>
      <c r="B77" s="48" t="s">
        <v>178</v>
      </c>
      <c r="C77" s="49" t="s">
        <v>16</v>
      </c>
      <c r="D77" s="49">
        <v>3300</v>
      </c>
      <c r="E77" s="50">
        <v>400</v>
      </c>
      <c r="F77" s="48" t="s">
        <v>15</v>
      </c>
      <c r="G77" s="51">
        <v>58</v>
      </c>
      <c r="H77" s="51">
        <v>41</v>
      </c>
      <c r="I77" s="51">
        <v>0</v>
      </c>
      <c r="J77" s="52">
        <f t="shared" ref="J77" si="189">(IF(F77="SELL",G77-H77,IF(F77="BUY",H77-G77)))*E77</f>
        <v>-6800</v>
      </c>
      <c r="K77" s="52">
        <v>0</v>
      </c>
      <c r="L77" s="53">
        <f t="shared" ref="L77" si="190">(K77+J77)/E77</f>
        <v>-17</v>
      </c>
      <c r="M77" s="53">
        <f t="shared" ref="M77" si="191">L77*E77</f>
        <v>-6800</v>
      </c>
    </row>
    <row r="78" spans="1:13" ht="15" customHeight="1">
      <c r="A78" s="47">
        <v>44055</v>
      </c>
      <c r="B78" s="48" t="s">
        <v>129</v>
      </c>
      <c r="C78" s="49" t="s">
        <v>16</v>
      </c>
      <c r="D78" s="49">
        <v>650</v>
      </c>
      <c r="E78" s="50">
        <v>2800</v>
      </c>
      <c r="F78" s="48" t="s">
        <v>15</v>
      </c>
      <c r="G78" s="51">
        <v>14.5</v>
      </c>
      <c r="H78" s="51">
        <v>19.5</v>
      </c>
      <c r="I78" s="51">
        <v>0</v>
      </c>
      <c r="J78" s="52">
        <f t="shared" ref="J78" si="192">(IF(F78="SELL",G78-H78,IF(F78="BUY",H78-G78)))*E78</f>
        <v>14000</v>
      </c>
      <c r="K78" s="52">
        <v>0</v>
      </c>
      <c r="L78" s="53">
        <f t="shared" ref="L78" si="193">(K78+J78)/E78</f>
        <v>5</v>
      </c>
      <c r="M78" s="53">
        <f t="shared" ref="M78" si="194">L78*E78</f>
        <v>14000</v>
      </c>
    </row>
    <row r="79" spans="1:13" ht="15" customHeight="1">
      <c r="A79" s="47">
        <v>44054</v>
      </c>
      <c r="B79" s="48" t="s">
        <v>78</v>
      </c>
      <c r="C79" s="49" t="s">
        <v>16</v>
      </c>
      <c r="D79" s="49">
        <v>4300</v>
      </c>
      <c r="E79" s="50">
        <v>250</v>
      </c>
      <c r="F79" s="48" t="s">
        <v>15</v>
      </c>
      <c r="G79" s="51">
        <v>145</v>
      </c>
      <c r="H79" s="51">
        <v>99</v>
      </c>
      <c r="I79" s="51">
        <v>0</v>
      </c>
      <c r="J79" s="52">
        <f t="shared" ref="J79:J80" si="195">(IF(F79="SELL",G79-H79,IF(F79="BUY",H79-G79)))*E79</f>
        <v>-11500</v>
      </c>
      <c r="K79" s="52">
        <v>0</v>
      </c>
      <c r="L79" s="53">
        <f t="shared" ref="L79:L80" si="196">(K79+J79)/E79</f>
        <v>-46</v>
      </c>
      <c r="M79" s="53">
        <f t="shared" ref="M79:M80" si="197">L79*E79</f>
        <v>-11500</v>
      </c>
    </row>
    <row r="80" spans="1:13" ht="15" customHeight="1">
      <c r="A80" s="47">
        <v>44054</v>
      </c>
      <c r="B80" s="48" t="s">
        <v>120</v>
      </c>
      <c r="C80" s="49" t="s">
        <v>16</v>
      </c>
      <c r="D80" s="49">
        <v>500</v>
      </c>
      <c r="E80" s="50">
        <v>2300</v>
      </c>
      <c r="F80" s="48" t="s">
        <v>15</v>
      </c>
      <c r="G80" s="51">
        <v>17.5</v>
      </c>
      <c r="H80" s="51">
        <v>19.5</v>
      </c>
      <c r="I80" s="51">
        <v>0</v>
      </c>
      <c r="J80" s="52">
        <f t="shared" si="195"/>
        <v>4600</v>
      </c>
      <c r="K80" s="52">
        <v>0</v>
      </c>
      <c r="L80" s="53">
        <f t="shared" si="196"/>
        <v>2</v>
      </c>
      <c r="M80" s="53">
        <f t="shared" si="197"/>
        <v>4600</v>
      </c>
    </row>
    <row r="81" spans="1:13" ht="15" customHeight="1">
      <c r="A81" s="47">
        <v>44050</v>
      </c>
      <c r="B81" s="48" t="s">
        <v>203</v>
      </c>
      <c r="C81" s="49" t="s">
        <v>16</v>
      </c>
      <c r="D81" s="49">
        <v>530</v>
      </c>
      <c r="E81" s="50">
        <v>2200</v>
      </c>
      <c r="F81" s="48" t="s">
        <v>15</v>
      </c>
      <c r="G81" s="51">
        <v>22</v>
      </c>
      <c r="H81" s="51">
        <v>26</v>
      </c>
      <c r="I81" s="51">
        <v>33</v>
      </c>
      <c r="J81" s="52">
        <f t="shared" ref="J81" si="198">(IF(F81="SELL",G81-H81,IF(F81="BUY",H81-G81)))*E81</f>
        <v>8800</v>
      </c>
      <c r="K81" s="52">
        <f>7*2200</f>
        <v>15400</v>
      </c>
      <c r="L81" s="53">
        <f t="shared" ref="L81" si="199">(K81+J81)/E81</f>
        <v>11</v>
      </c>
      <c r="M81" s="53">
        <f t="shared" ref="M81" si="200">L81*E81</f>
        <v>24200</v>
      </c>
    </row>
    <row r="82" spans="1:13" ht="15" customHeight="1">
      <c r="A82" s="47">
        <v>44049</v>
      </c>
      <c r="B82" s="48" t="s">
        <v>202</v>
      </c>
      <c r="C82" s="49" t="s">
        <v>16</v>
      </c>
      <c r="D82" s="49">
        <v>2000</v>
      </c>
      <c r="E82" s="50">
        <v>375</v>
      </c>
      <c r="F82" s="48" t="s">
        <v>15</v>
      </c>
      <c r="G82" s="51">
        <v>110</v>
      </c>
      <c r="H82" s="51">
        <v>120</v>
      </c>
      <c r="I82" s="51">
        <v>0</v>
      </c>
      <c r="J82" s="52">
        <f t="shared" ref="J82" si="201">(IF(F82="SELL",G82-H82,IF(F82="BUY",H82-G82)))*E82</f>
        <v>3750</v>
      </c>
      <c r="K82" s="52">
        <v>0</v>
      </c>
      <c r="L82" s="53">
        <f t="shared" ref="L82" si="202">(K82+J82)/E82</f>
        <v>10</v>
      </c>
      <c r="M82" s="53">
        <f t="shared" ref="M82" si="203">L82*E82</f>
        <v>3750</v>
      </c>
    </row>
    <row r="83" spans="1:13" ht="15" customHeight="1">
      <c r="A83" s="47">
        <v>44048</v>
      </c>
      <c r="B83" s="48" t="s">
        <v>192</v>
      </c>
      <c r="C83" s="49" t="s">
        <v>16</v>
      </c>
      <c r="D83" s="49">
        <v>1200</v>
      </c>
      <c r="E83" s="50">
        <v>1100</v>
      </c>
      <c r="F83" s="48" t="s">
        <v>15</v>
      </c>
      <c r="G83" s="51">
        <v>37</v>
      </c>
      <c r="H83" s="51">
        <v>26</v>
      </c>
      <c r="I83" s="51">
        <v>0</v>
      </c>
      <c r="J83" s="52">
        <f t="shared" ref="J83" si="204">(IF(F83="SELL",G83-H83,IF(F83="BUY",H83-G83)))*E83</f>
        <v>-12100</v>
      </c>
      <c r="K83" s="52">
        <v>0</v>
      </c>
      <c r="L83" s="53">
        <f t="shared" ref="L83" si="205">(K83+J83)/E83</f>
        <v>-11</v>
      </c>
      <c r="M83" s="53">
        <f t="shared" ref="M83" si="206">L83*E83</f>
        <v>-12100</v>
      </c>
    </row>
    <row r="84" spans="1:13" ht="15" customHeight="1">
      <c r="A84" s="47">
        <v>44047</v>
      </c>
      <c r="B84" s="48" t="s">
        <v>184</v>
      </c>
      <c r="C84" s="49" t="s">
        <v>16</v>
      </c>
      <c r="D84" s="49">
        <v>460</v>
      </c>
      <c r="E84" s="50">
        <v>5400</v>
      </c>
      <c r="F84" s="48" t="s">
        <v>15</v>
      </c>
      <c r="G84" s="51">
        <v>12</v>
      </c>
      <c r="H84" s="51">
        <v>14</v>
      </c>
      <c r="I84" s="51">
        <v>0</v>
      </c>
      <c r="J84" s="52">
        <f t="shared" ref="J84" si="207">(IF(F84="SELL",G84-H84,IF(F84="BUY",H84-G84)))*E84</f>
        <v>10800</v>
      </c>
      <c r="K84" s="52">
        <v>0</v>
      </c>
      <c r="L84" s="53">
        <f t="shared" ref="L84" si="208">(K84+J84)/E84</f>
        <v>2</v>
      </c>
      <c r="M84" s="53">
        <f t="shared" ref="M84" si="209">L84*E84</f>
        <v>10800</v>
      </c>
    </row>
    <row r="85" spans="1:13" ht="15" customHeight="1">
      <c r="A85" s="47">
        <v>44046</v>
      </c>
      <c r="B85" s="48" t="s">
        <v>194</v>
      </c>
      <c r="C85" s="49" t="s">
        <v>16</v>
      </c>
      <c r="D85" s="49">
        <v>2900</v>
      </c>
      <c r="E85" s="50">
        <v>1000</v>
      </c>
      <c r="F85" s="48" t="s">
        <v>15</v>
      </c>
      <c r="G85" s="51">
        <v>68</v>
      </c>
      <c r="H85" s="51">
        <v>80</v>
      </c>
      <c r="I85" s="51">
        <v>0</v>
      </c>
      <c r="J85" s="52">
        <f t="shared" ref="J85" si="210">(IF(F85="SELL",G85-H85,IF(F85="BUY",H85-G85)))*E85</f>
        <v>12000</v>
      </c>
      <c r="K85" s="52">
        <v>0</v>
      </c>
      <c r="L85" s="53">
        <f t="shared" ref="L85" si="211">(K85+J85)/E85</f>
        <v>12</v>
      </c>
      <c r="M85" s="53">
        <f t="shared" ref="M85" si="212">L85*E85</f>
        <v>12000</v>
      </c>
    </row>
    <row r="86" spans="1:13" ht="15" customHeight="1">
      <c r="A86" s="47">
        <v>44043</v>
      </c>
      <c r="B86" s="48" t="s">
        <v>189</v>
      </c>
      <c r="C86" s="49" t="s">
        <v>16</v>
      </c>
      <c r="D86" s="49">
        <v>1000</v>
      </c>
      <c r="E86" s="50">
        <v>1300</v>
      </c>
      <c r="F86" s="48" t="s">
        <v>15</v>
      </c>
      <c r="G86" s="51">
        <v>24.2</v>
      </c>
      <c r="H86" s="51">
        <v>32</v>
      </c>
      <c r="I86" s="51">
        <v>42</v>
      </c>
      <c r="J86" s="52">
        <f t="shared" ref="J86" si="213">(IF(F86="SELL",G86-H86,IF(F86="BUY",H86-G86)))*E86</f>
        <v>10140.000000000002</v>
      </c>
      <c r="K86" s="52">
        <f>E86*10</f>
        <v>13000</v>
      </c>
      <c r="L86" s="53">
        <f t="shared" ref="L86" si="214">(K86+J86)/E86</f>
        <v>17.8</v>
      </c>
      <c r="M86" s="53">
        <f t="shared" ref="M86" si="215">L86*E86</f>
        <v>23140</v>
      </c>
    </row>
    <row r="87" spans="1:13" ht="15" customHeight="1">
      <c r="A87" s="47">
        <v>44042</v>
      </c>
      <c r="B87" s="48" t="s">
        <v>201</v>
      </c>
      <c r="C87" s="49" t="s">
        <v>16</v>
      </c>
      <c r="D87" s="49">
        <v>1400</v>
      </c>
      <c r="E87" s="50">
        <v>400</v>
      </c>
      <c r="F87" s="48" t="s">
        <v>15</v>
      </c>
      <c r="G87" s="51">
        <v>60</v>
      </c>
      <c r="H87" s="51">
        <v>75</v>
      </c>
      <c r="I87" s="51">
        <v>0</v>
      </c>
      <c r="J87" s="52">
        <f t="shared" ref="J87" si="216">(IF(F87="SELL",G87-H87,IF(F87="BUY",H87-G87)))*E87</f>
        <v>6000</v>
      </c>
      <c r="K87" s="52">
        <v>0</v>
      </c>
      <c r="L87" s="53">
        <f t="shared" ref="L87" si="217">(K87+J87)/E87</f>
        <v>15</v>
      </c>
      <c r="M87" s="53">
        <f t="shared" ref="M87" si="218">L87*E87</f>
        <v>6000</v>
      </c>
    </row>
    <row r="88" spans="1:13" ht="15" customHeight="1">
      <c r="A88" s="47">
        <v>44041</v>
      </c>
      <c r="B88" s="48" t="s">
        <v>198</v>
      </c>
      <c r="C88" s="49" t="s">
        <v>16</v>
      </c>
      <c r="D88" s="49">
        <v>430</v>
      </c>
      <c r="E88" s="50">
        <v>1200</v>
      </c>
      <c r="F88" s="48" t="s">
        <v>15</v>
      </c>
      <c r="G88" s="51">
        <v>16</v>
      </c>
      <c r="H88" s="51">
        <v>10</v>
      </c>
      <c r="I88" s="51">
        <v>0</v>
      </c>
      <c r="J88" s="52">
        <f t="shared" ref="J88" si="219">(IF(F88="SELL",G88-H88,IF(F88="BUY",H88-G88)))*E88</f>
        <v>-7200</v>
      </c>
      <c r="K88" s="52">
        <v>0</v>
      </c>
      <c r="L88" s="53">
        <f t="shared" ref="L88" si="220">(K88+J88)/E88</f>
        <v>-6</v>
      </c>
      <c r="M88" s="53">
        <f t="shared" ref="M88" si="221">L88*E88</f>
        <v>-7200</v>
      </c>
    </row>
    <row r="89" spans="1:13" ht="15" customHeight="1">
      <c r="A89" s="47">
        <v>44040</v>
      </c>
      <c r="B89" s="48" t="s">
        <v>154</v>
      </c>
      <c r="C89" s="49" t="s">
        <v>16</v>
      </c>
      <c r="D89" s="49">
        <v>185</v>
      </c>
      <c r="E89" s="50">
        <v>6000</v>
      </c>
      <c r="F89" s="48" t="s">
        <v>15</v>
      </c>
      <c r="G89" s="51">
        <v>5.0999999999999996</v>
      </c>
      <c r="H89" s="51">
        <v>3.45</v>
      </c>
      <c r="I89" s="51">
        <v>0</v>
      </c>
      <c r="J89" s="52">
        <f t="shared" ref="J89" si="222">(IF(F89="SELL",G89-H89,IF(F89="BUY",H89-G89)))*E89</f>
        <v>-9899.9999999999964</v>
      </c>
      <c r="K89" s="52">
        <v>0</v>
      </c>
      <c r="L89" s="53">
        <f t="shared" ref="L89" si="223">(K89+J89)/E89</f>
        <v>-1.6499999999999995</v>
      </c>
      <c r="M89" s="53">
        <f t="shared" ref="M89" si="224">L89*E89</f>
        <v>-9899.9999999999964</v>
      </c>
    </row>
    <row r="90" spans="1:13" ht="15" customHeight="1">
      <c r="A90" s="47">
        <v>44040</v>
      </c>
      <c r="B90" s="48" t="s">
        <v>200</v>
      </c>
      <c r="C90" s="49" t="s">
        <v>16</v>
      </c>
      <c r="D90" s="49">
        <v>880</v>
      </c>
      <c r="E90" s="50">
        <v>750</v>
      </c>
      <c r="F90" s="48" t="s">
        <v>15</v>
      </c>
      <c r="G90" s="51">
        <v>14</v>
      </c>
      <c r="H90" s="51">
        <v>7</v>
      </c>
      <c r="I90" s="51">
        <v>0</v>
      </c>
      <c r="J90" s="52">
        <f t="shared" ref="J90" si="225">(IF(F90="SELL",G90-H90,IF(F90="BUY",H90-G90)))*E90</f>
        <v>-5250</v>
      </c>
      <c r="K90" s="52">
        <v>0</v>
      </c>
      <c r="L90" s="53">
        <f t="shared" ref="L90" si="226">(K90+J90)/E90</f>
        <v>-7</v>
      </c>
      <c r="M90" s="53">
        <f t="shared" ref="M90" si="227">L90*E90</f>
        <v>-5250</v>
      </c>
    </row>
    <row r="91" spans="1:13" ht="15" customHeight="1">
      <c r="A91" s="47">
        <v>44039</v>
      </c>
      <c r="B91" s="48" t="s">
        <v>55</v>
      </c>
      <c r="C91" s="49" t="s">
        <v>16</v>
      </c>
      <c r="D91" s="49">
        <v>920</v>
      </c>
      <c r="E91" s="50">
        <v>2400</v>
      </c>
      <c r="F91" s="48" t="s">
        <v>15</v>
      </c>
      <c r="G91" s="51">
        <v>24</v>
      </c>
      <c r="H91" s="51">
        <v>29</v>
      </c>
      <c r="I91" s="51">
        <v>36</v>
      </c>
      <c r="J91" s="52">
        <f t="shared" ref="J91" si="228">(IF(F91="SELL",G91-H91,IF(F91="BUY",H91-G91)))*E91</f>
        <v>12000</v>
      </c>
      <c r="K91" s="52">
        <f>2400*7</f>
        <v>16800</v>
      </c>
      <c r="L91" s="53">
        <f t="shared" ref="L91" si="229">(K91+J91)/E91</f>
        <v>12</v>
      </c>
      <c r="M91" s="53">
        <f t="shared" ref="M91" si="230">L91*E91</f>
        <v>28800</v>
      </c>
    </row>
    <row r="92" spans="1:13" ht="15" customHeight="1">
      <c r="A92" s="47">
        <v>44036</v>
      </c>
      <c r="B92" s="48" t="s">
        <v>55</v>
      </c>
      <c r="C92" s="49" t="s">
        <v>16</v>
      </c>
      <c r="D92" s="49">
        <v>920</v>
      </c>
      <c r="E92" s="50">
        <v>2400</v>
      </c>
      <c r="F92" s="48" t="s">
        <v>15</v>
      </c>
      <c r="G92" s="51">
        <v>16.2</v>
      </c>
      <c r="H92" s="51">
        <v>21</v>
      </c>
      <c r="I92" s="51">
        <v>0</v>
      </c>
      <c r="J92" s="52">
        <f t="shared" ref="J92" si="231">(IF(F92="SELL",G92-H92,IF(F92="BUY",H92-G92)))*E92</f>
        <v>11520.000000000002</v>
      </c>
      <c r="K92" s="52">
        <v>0</v>
      </c>
      <c r="L92" s="53">
        <f t="shared" ref="L92" si="232">(K92+J92)/E92</f>
        <v>4.8000000000000007</v>
      </c>
      <c r="M92" s="53">
        <f t="shared" ref="M92" si="233">L92*E92</f>
        <v>11520.000000000002</v>
      </c>
    </row>
    <row r="93" spans="1:13" ht="15" customHeight="1">
      <c r="A93" s="47">
        <v>44035</v>
      </c>
      <c r="B93" s="48" t="s">
        <v>199</v>
      </c>
      <c r="C93" s="49" t="s">
        <v>16</v>
      </c>
      <c r="D93" s="49">
        <v>80</v>
      </c>
      <c r="E93" s="50">
        <v>7700</v>
      </c>
      <c r="F93" s="48" t="s">
        <v>15</v>
      </c>
      <c r="G93" s="51">
        <v>5</v>
      </c>
      <c r="H93" s="51">
        <v>3.8</v>
      </c>
      <c r="I93" s="51">
        <v>0</v>
      </c>
      <c r="J93" s="52">
        <f t="shared" ref="J93" si="234">(IF(F93="SELL",G93-H93,IF(F93="BUY",H93-G93)))*E93</f>
        <v>-9240.0000000000018</v>
      </c>
      <c r="K93" s="52">
        <v>0</v>
      </c>
      <c r="L93" s="53">
        <f t="shared" ref="L93" si="235">(K93+J93)/E93</f>
        <v>-1.2000000000000002</v>
      </c>
      <c r="M93" s="53">
        <f t="shared" ref="M93" si="236">L93*E93</f>
        <v>-9240.0000000000018</v>
      </c>
    </row>
    <row r="94" spans="1:13" ht="15" customHeight="1">
      <c r="A94" s="47">
        <v>44034</v>
      </c>
      <c r="B94" s="48" t="s">
        <v>154</v>
      </c>
      <c r="C94" s="49" t="s">
        <v>16</v>
      </c>
      <c r="D94" s="49">
        <v>180</v>
      </c>
      <c r="E94" s="50">
        <v>6000</v>
      </c>
      <c r="F94" s="48" t="s">
        <v>15</v>
      </c>
      <c r="G94" s="51">
        <v>3.4</v>
      </c>
      <c r="H94" s="51">
        <v>5</v>
      </c>
      <c r="I94" s="51">
        <v>6.5</v>
      </c>
      <c r="J94" s="52">
        <f t="shared" ref="J94" si="237">(IF(F94="SELL",G94-H94,IF(F94="BUY",H94-G94)))*E94</f>
        <v>9600</v>
      </c>
      <c r="K94" s="52">
        <f>1.5*6000</f>
        <v>9000</v>
      </c>
      <c r="L94" s="53">
        <f t="shared" ref="L94" si="238">(K94+J94)/E94</f>
        <v>3.1</v>
      </c>
      <c r="M94" s="53">
        <f t="shared" ref="M94" si="239">L94*E94</f>
        <v>18600</v>
      </c>
    </row>
    <row r="95" spans="1:13" ht="15" customHeight="1">
      <c r="A95" s="47">
        <v>44033</v>
      </c>
      <c r="B95" s="48" t="s">
        <v>138</v>
      </c>
      <c r="C95" s="49" t="s">
        <v>16</v>
      </c>
      <c r="D95" s="49">
        <v>1900</v>
      </c>
      <c r="E95" s="50">
        <v>505</v>
      </c>
      <c r="F95" s="48" t="s">
        <v>15</v>
      </c>
      <c r="G95" s="51">
        <v>96</v>
      </c>
      <c r="H95" s="51">
        <v>115</v>
      </c>
      <c r="I95" s="51">
        <v>0</v>
      </c>
      <c r="J95" s="52">
        <f t="shared" ref="J95" si="240">(IF(F95="SELL",G95-H95,IF(F95="BUY",H95-G95)))*E95</f>
        <v>9595</v>
      </c>
      <c r="K95" s="52">
        <v>0</v>
      </c>
      <c r="L95" s="53">
        <f t="shared" ref="L95" si="241">(K95+J95)/E95</f>
        <v>19</v>
      </c>
      <c r="M95" s="53">
        <f t="shared" ref="M95" si="242">L95*E95</f>
        <v>9595</v>
      </c>
    </row>
    <row r="96" spans="1:13" ht="15" customHeight="1">
      <c r="A96" s="47">
        <v>44032</v>
      </c>
      <c r="B96" s="48" t="s">
        <v>180</v>
      </c>
      <c r="C96" s="49" t="s">
        <v>16</v>
      </c>
      <c r="D96" s="49">
        <v>610</v>
      </c>
      <c r="E96" s="50">
        <v>2200</v>
      </c>
      <c r="F96" s="48" t="s">
        <v>15</v>
      </c>
      <c r="G96" s="51">
        <v>25.5</v>
      </c>
      <c r="H96" s="51">
        <v>31</v>
      </c>
      <c r="I96" s="51">
        <v>0</v>
      </c>
      <c r="J96" s="52">
        <f t="shared" ref="J96" si="243">(IF(F96="SELL",G96-H96,IF(F96="BUY",H96-G96)))*E96</f>
        <v>12100</v>
      </c>
      <c r="K96" s="52">
        <v>0</v>
      </c>
      <c r="L96" s="53">
        <f t="shared" ref="L96" si="244">(K96+J96)/E96</f>
        <v>5.5</v>
      </c>
      <c r="M96" s="53">
        <f t="shared" ref="M96" si="245">L96*E96</f>
        <v>12100</v>
      </c>
    </row>
    <row r="97" spans="1:13" ht="15" customHeight="1">
      <c r="A97" s="47">
        <v>44029</v>
      </c>
      <c r="B97" s="48" t="s">
        <v>191</v>
      </c>
      <c r="C97" s="49" t="s">
        <v>16</v>
      </c>
      <c r="D97" s="49">
        <v>570</v>
      </c>
      <c r="E97" s="50">
        <v>1851</v>
      </c>
      <c r="F97" s="48" t="s">
        <v>15</v>
      </c>
      <c r="G97" s="51">
        <v>19</v>
      </c>
      <c r="H97" s="51">
        <v>24</v>
      </c>
      <c r="I97" s="51">
        <v>0</v>
      </c>
      <c r="J97" s="52">
        <f t="shared" ref="J97" si="246">(IF(F97="SELL",G97-H97,IF(F97="BUY",H97-G97)))*E97</f>
        <v>9255</v>
      </c>
      <c r="K97" s="52">
        <v>0</v>
      </c>
      <c r="L97" s="53">
        <f t="shared" ref="L97" si="247">(K97+J97)/E97</f>
        <v>5</v>
      </c>
      <c r="M97" s="53">
        <f t="shared" ref="M97" si="248">L97*E97</f>
        <v>9255</v>
      </c>
    </row>
    <row r="98" spans="1:13" ht="15" customHeight="1">
      <c r="A98" s="47">
        <v>44028</v>
      </c>
      <c r="B98" s="48" t="s">
        <v>152</v>
      </c>
      <c r="C98" s="49" t="s">
        <v>16</v>
      </c>
      <c r="D98" s="49">
        <v>750</v>
      </c>
      <c r="E98" s="50">
        <v>1200</v>
      </c>
      <c r="F98" s="48" t="s">
        <v>15</v>
      </c>
      <c r="G98" s="51">
        <v>23.5</v>
      </c>
      <c r="H98" s="51">
        <v>31.5</v>
      </c>
      <c r="I98" s="51">
        <v>0</v>
      </c>
      <c r="J98" s="52">
        <f t="shared" ref="J98" si="249">(IF(F98="SELL",G98-H98,IF(F98="BUY",H98-G98)))*E98</f>
        <v>9600</v>
      </c>
      <c r="K98" s="52">
        <v>0</v>
      </c>
      <c r="L98" s="53">
        <f t="shared" ref="L98" si="250">(K98+J98)/E98</f>
        <v>8</v>
      </c>
      <c r="M98" s="53">
        <f t="shared" ref="M98" si="251">L98*E98</f>
        <v>9600</v>
      </c>
    </row>
    <row r="99" spans="1:13" ht="15" customHeight="1">
      <c r="A99" s="47">
        <v>44027</v>
      </c>
      <c r="B99" s="48" t="s">
        <v>55</v>
      </c>
      <c r="C99" s="49" t="s">
        <v>16</v>
      </c>
      <c r="D99" s="49">
        <v>830</v>
      </c>
      <c r="E99" s="50">
        <v>1200</v>
      </c>
      <c r="F99" s="48" t="s">
        <v>15</v>
      </c>
      <c r="G99" s="51">
        <v>19</v>
      </c>
      <c r="H99" s="51">
        <v>26</v>
      </c>
      <c r="I99" s="51">
        <v>35</v>
      </c>
      <c r="J99" s="52">
        <f t="shared" ref="J99" si="252">(IF(F99="SELL",G99-H99,IF(F99="BUY",H99-G99)))*E99</f>
        <v>8400</v>
      </c>
      <c r="K99" s="52">
        <f>1400*9</f>
        <v>12600</v>
      </c>
      <c r="L99" s="53">
        <f t="shared" ref="L99" si="253">(K99+J99)/E99</f>
        <v>17.5</v>
      </c>
      <c r="M99" s="53">
        <f t="shared" ref="M99" si="254">L99*E99</f>
        <v>21000</v>
      </c>
    </row>
    <row r="100" spans="1:13" ht="15" customHeight="1">
      <c r="A100" s="47">
        <v>44026</v>
      </c>
      <c r="B100" s="48" t="s">
        <v>99</v>
      </c>
      <c r="C100" s="49" t="s">
        <v>16</v>
      </c>
      <c r="D100" s="49">
        <v>600</v>
      </c>
      <c r="E100" s="50">
        <v>1400</v>
      </c>
      <c r="F100" s="48" t="s">
        <v>15</v>
      </c>
      <c r="G100" s="51">
        <v>26</v>
      </c>
      <c r="H100" s="51">
        <v>19</v>
      </c>
      <c r="I100" s="51">
        <v>0</v>
      </c>
      <c r="J100" s="52">
        <f t="shared" ref="J100" si="255">(IF(F100="SELL",G100-H100,IF(F100="BUY",H100-G100)))*E100</f>
        <v>-9800</v>
      </c>
      <c r="K100" s="52">
        <v>0</v>
      </c>
      <c r="L100" s="53">
        <f t="shared" ref="L100" si="256">(K100+J100)/E100</f>
        <v>-7</v>
      </c>
      <c r="M100" s="53">
        <f t="shared" ref="M100" si="257">L100*E100</f>
        <v>-9800</v>
      </c>
    </row>
    <row r="101" spans="1:13" ht="15" customHeight="1">
      <c r="A101" s="47">
        <v>44025</v>
      </c>
      <c r="B101" s="48" t="s">
        <v>99</v>
      </c>
      <c r="C101" s="49" t="s">
        <v>16</v>
      </c>
      <c r="D101" s="49">
        <v>590</v>
      </c>
      <c r="E101" s="50">
        <v>1400</v>
      </c>
      <c r="F101" s="48" t="s">
        <v>15</v>
      </c>
      <c r="G101" s="51">
        <v>21</v>
      </c>
      <c r="H101" s="51">
        <v>25</v>
      </c>
      <c r="I101" s="51">
        <v>28.8</v>
      </c>
      <c r="J101" s="52">
        <f t="shared" ref="J101" si="258">(IF(F101="SELL",G101-H101,IF(F101="BUY",H101-G101)))*E101</f>
        <v>5600</v>
      </c>
      <c r="K101" s="52">
        <f>1400*3.8</f>
        <v>5320</v>
      </c>
      <c r="L101" s="53">
        <f t="shared" ref="L101" si="259">(K101+J101)/E101</f>
        <v>7.8</v>
      </c>
      <c r="M101" s="53">
        <f t="shared" ref="M101" si="260">L101*E101</f>
        <v>10920</v>
      </c>
    </row>
    <row r="102" spans="1:13" ht="15" customHeight="1">
      <c r="A102" s="47">
        <v>44022</v>
      </c>
      <c r="B102" s="48" t="s">
        <v>29</v>
      </c>
      <c r="C102" s="49" t="s">
        <v>16</v>
      </c>
      <c r="D102" s="49">
        <v>190</v>
      </c>
      <c r="E102" s="50">
        <v>10000</v>
      </c>
      <c r="F102" s="48" t="s">
        <v>15</v>
      </c>
      <c r="G102" s="51">
        <v>3.6</v>
      </c>
      <c r="H102" s="51">
        <v>4.5</v>
      </c>
      <c r="I102" s="51">
        <v>0</v>
      </c>
      <c r="J102" s="52">
        <f t="shared" ref="J102" si="261">(IF(F102="SELL",G102-H102,IF(F102="BUY",H102-G102)))*E102</f>
        <v>9000</v>
      </c>
      <c r="K102" s="52">
        <v>0</v>
      </c>
      <c r="L102" s="53">
        <f t="shared" ref="L102" si="262">(K102+J102)/E102</f>
        <v>0.9</v>
      </c>
      <c r="M102" s="53">
        <f t="shared" ref="M102" si="263">L102*E102</f>
        <v>9000</v>
      </c>
    </row>
    <row r="103" spans="1:13" ht="15" customHeight="1">
      <c r="A103" s="47">
        <v>44021</v>
      </c>
      <c r="B103" s="48" t="s">
        <v>49</v>
      </c>
      <c r="C103" s="49" t="s">
        <v>16</v>
      </c>
      <c r="D103" s="49">
        <v>360</v>
      </c>
      <c r="E103" s="50">
        <v>3400</v>
      </c>
      <c r="F103" s="48" t="s">
        <v>15</v>
      </c>
      <c r="G103" s="51">
        <v>10.5</v>
      </c>
      <c r="H103" s="51">
        <v>7</v>
      </c>
      <c r="I103" s="51">
        <v>0</v>
      </c>
      <c r="J103" s="52">
        <f t="shared" ref="J103" si="264">(IF(F103="SELL",G103-H103,IF(F103="BUY",H103-G103)))*E103</f>
        <v>-11900</v>
      </c>
      <c r="K103" s="52">
        <v>0</v>
      </c>
      <c r="L103" s="53">
        <f t="shared" ref="L103" si="265">(K103+J103)/E103</f>
        <v>-3.5</v>
      </c>
      <c r="M103" s="53">
        <f t="shared" ref="M103" si="266">L103*E103</f>
        <v>-11900</v>
      </c>
    </row>
    <row r="104" spans="1:13" ht="15" customHeight="1">
      <c r="A104" s="47">
        <v>44020</v>
      </c>
      <c r="B104" s="48" t="s">
        <v>197</v>
      </c>
      <c r="C104" s="49" t="s">
        <v>16</v>
      </c>
      <c r="D104" s="49">
        <v>3700</v>
      </c>
      <c r="E104" s="50">
        <v>400</v>
      </c>
      <c r="F104" s="48" t="s">
        <v>15</v>
      </c>
      <c r="G104" s="51">
        <v>112</v>
      </c>
      <c r="H104" s="51">
        <v>140</v>
      </c>
      <c r="I104" s="51">
        <v>0</v>
      </c>
      <c r="J104" s="52">
        <f t="shared" ref="J104" si="267">(IF(F104="SELL",G104-H104,IF(F104="BUY",H104-G104)))*E104</f>
        <v>11200</v>
      </c>
      <c r="K104" s="52">
        <v>0</v>
      </c>
      <c r="L104" s="53">
        <f t="shared" ref="L104" si="268">(K104+J104)/E104</f>
        <v>28</v>
      </c>
      <c r="M104" s="53">
        <f t="shared" ref="M104" si="269">L104*E104</f>
        <v>11200</v>
      </c>
    </row>
    <row r="105" spans="1:13" ht="15" customHeight="1">
      <c r="A105" s="47">
        <v>44019</v>
      </c>
      <c r="B105" s="48" t="s">
        <v>198</v>
      </c>
      <c r="C105" s="49" t="s">
        <v>16</v>
      </c>
      <c r="D105" s="49">
        <v>460</v>
      </c>
      <c r="E105" s="50">
        <v>2400</v>
      </c>
      <c r="F105" s="48" t="s">
        <v>15</v>
      </c>
      <c r="G105" s="51">
        <v>17.5</v>
      </c>
      <c r="H105" s="51">
        <v>20.45</v>
      </c>
      <c r="I105" s="51">
        <v>0</v>
      </c>
      <c r="J105" s="52">
        <f t="shared" ref="J105" si="270">(IF(F105="SELL",G105-H105,IF(F105="BUY",H105-G105)))*E105</f>
        <v>7079.9999999999982</v>
      </c>
      <c r="K105" s="52">
        <v>0</v>
      </c>
      <c r="L105" s="53">
        <f t="shared" ref="L105" si="271">(K105+J105)/E105</f>
        <v>2.9499999999999993</v>
      </c>
      <c r="M105" s="53">
        <f t="shared" ref="M105" si="272">L105*E105</f>
        <v>7079.9999999999982</v>
      </c>
    </row>
    <row r="106" spans="1:13" ht="15" customHeight="1">
      <c r="A106" s="47">
        <v>44018</v>
      </c>
      <c r="B106" s="48" t="s">
        <v>184</v>
      </c>
      <c r="C106" s="49" t="s">
        <v>16</v>
      </c>
      <c r="D106" s="49">
        <v>420</v>
      </c>
      <c r="E106" s="50">
        <v>5400</v>
      </c>
      <c r="F106" s="48" t="s">
        <v>15</v>
      </c>
      <c r="G106" s="51">
        <v>7.8</v>
      </c>
      <c r="H106" s="51">
        <v>9.8000000000000007</v>
      </c>
      <c r="I106" s="51">
        <v>0</v>
      </c>
      <c r="J106" s="52">
        <f t="shared" ref="J106" si="273">(IF(F106="SELL",G106-H106,IF(F106="BUY",H106-G106)))*E106</f>
        <v>10800.000000000005</v>
      </c>
      <c r="K106" s="52">
        <v>0</v>
      </c>
      <c r="L106" s="53">
        <f t="shared" ref="L106" si="274">(K106+J106)/E106</f>
        <v>2.0000000000000009</v>
      </c>
      <c r="M106" s="53">
        <f t="shared" ref="M106" si="275">L106*E106</f>
        <v>10800.000000000005</v>
      </c>
    </row>
    <row r="107" spans="1:13" ht="15" customHeight="1">
      <c r="A107" s="47">
        <v>44015</v>
      </c>
      <c r="B107" s="48" t="s">
        <v>99</v>
      </c>
      <c r="C107" s="49" t="s">
        <v>16</v>
      </c>
      <c r="D107" s="49">
        <v>560</v>
      </c>
      <c r="E107" s="50">
        <v>2800</v>
      </c>
      <c r="F107" s="48" t="s">
        <v>15</v>
      </c>
      <c r="G107" s="51">
        <v>18.8</v>
      </c>
      <c r="H107" s="51">
        <v>21.8</v>
      </c>
      <c r="I107" s="51">
        <v>0</v>
      </c>
      <c r="J107" s="52">
        <f t="shared" ref="J107" si="276">(IF(F107="SELL",G107-H107,IF(F107="BUY",H107-G107)))*E107</f>
        <v>8400</v>
      </c>
      <c r="K107" s="52">
        <v>0</v>
      </c>
      <c r="L107" s="53">
        <f t="shared" ref="L107" si="277">(K107+J107)/E107</f>
        <v>3</v>
      </c>
      <c r="M107" s="53">
        <f t="shared" ref="M107" si="278">L107*E107</f>
        <v>8400</v>
      </c>
    </row>
    <row r="108" spans="1:13" ht="15" customHeight="1">
      <c r="A108" s="47">
        <v>44014</v>
      </c>
      <c r="B108" s="48" t="s">
        <v>126</v>
      </c>
      <c r="C108" s="49" t="s">
        <v>16</v>
      </c>
      <c r="D108" s="49">
        <v>2150</v>
      </c>
      <c r="E108" s="50">
        <v>600</v>
      </c>
      <c r="F108" s="48" t="s">
        <v>15</v>
      </c>
      <c r="G108" s="51">
        <v>75</v>
      </c>
      <c r="H108" s="51">
        <v>95</v>
      </c>
      <c r="I108" s="51">
        <v>0</v>
      </c>
      <c r="J108" s="52">
        <f t="shared" ref="J108" si="279">(IF(F108="SELL",G108-H108,IF(F108="BUY",H108-G108)))*E108</f>
        <v>12000</v>
      </c>
      <c r="K108" s="52">
        <v>0</v>
      </c>
      <c r="L108" s="53">
        <f t="shared" ref="L108" si="280">(K108+J108)/E108</f>
        <v>20</v>
      </c>
      <c r="M108" s="53">
        <f t="shared" ref="M108" si="281">L108*E108</f>
        <v>12000</v>
      </c>
    </row>
    <row r="109" spans="1:13" ht="15" customHeight="1">
      <c r="A109" s="47">
        <v>44013</v>
      </c>
      <c r="B109" s="48" t="s">
        <v>82</v>
      </c>
      <c r="C109" s="49" t="s">
        <v>16</v>
      </c>
      <c r="D109" s="49">
        <v>360</v>
      </c>
      <c r="E109" s="50">
        <v>2750</v>
      </c>
      <c r="F109" s="48" t="s">
        <v>15</v>
      </c>
      <c r="G109" s="51">
        <v>18.5</v>
      </c>
      <c r="H109" s="51">
        <v>22.5</v>
      </c>
      <c r="I109" s="51">
        <v>0</v>
      </c>
      <c r="J109" s="52">
        <f t="shared" ref="J109" si="282">(IF(F109="SELL",G109-H109,IF(F109="BUY",H109-G109)))*E109</f>
        <v>11000</v>
      </c>
      <c r="K109" s="52">
        <v>0</v>
      </c>
      <c r="L109" s="53">
        <f t="shared" ref="L109" si="283">(K109+J109)/E109</f>
        <v>4</v>
      </c>
      <c r="M109" s="53">
        <f t="shared" ref="M109" si="284">L109*E109</f>
        <v>11000</v>
      </c>
    </row>
    <row r="110" spans="1:13" ht="15" customHeight="1">
      <c r="A110" s="47">
        <v>44012</v>
      </c>
      <c r="B110" s="48" t="s">
        <v>197</v>
      </c>
      <c r="C110" s="49" t="s">
        <v>16</v>
      </c>
      <c r="D110" s="49">
        <v>3700</v>
      </c>
      <c r="E110" s="50">
        <v>400</v>
      </c>
      <c r="F110" s="48" t="s">
        <v>15</v>
      </c>
      <c r="G110" s="51">
        <v>90</v>
      </c>
      <c r="H110" s="51">
        <v>96.4</v>
      </c>
      <c r="I110" s="51">
        <v>0</v>
      </c>
      <c r="J110" s="52">
        <f t="shared" ref="J110" si="285">(IF(F110="SELL",G110-H110,IF(F110="BUY",H110-G110)))*E110</f>
        <v>2560.0000000000023</v>
      </c>
      <c r="K110" s="52">
        <v>0</v>
      </c>
      <c r="L110" s="53">
        <f t="shared" ref="L110" si="286">(K110+J110)/E110</f>
        <v>6.4000000000000057</v>
      </c>
      <c r="M110" s="53">
        <f t="shared" ref="M110" si="287">L110*E110</f>
        <v>2560.0000000000023</v>
      </c>
    </row>
    <row r="111" spans="1:13" ht="15" customHeight="1">
      <c r="A111" s="47">
        <v>44011</v>
      </c>
      <c r="B111" s="48" t="s">
        <v>184</v>
      </c>
      <c r="C111" s="49" t="s">
        <v>16</v>
      </c>
      <c r="D111" s="49">
        <v>410</v>
      </c>
      <c r="E111" s="50">
        <v>5400</v>
      </c>
      <c r="F111" s="48" t="s">
        <v>15</v>
      </c>
      <c r="G111" s="51">
        <v>8</v>
      </c>
      <c r="H111" s="51">
        <v>9</v>
      </c>
      <c r="I111" s="51">
        <v>0</v>
      </c>
      <c r="J111" s="52">
        <f t="shared" ref="J111" si="288">(IF(F111="SELL",G111-H111,IF(F111="BUY",H111-G111)))*E111</f>
        <v>5400</v>
      </c>
      <c r="K111" s="52">
        <v>0</v>
      </c>
      <c r="L111" s="53">
        <f t="shared" ref="L111" si="289">(K111+J111)/E111</f>
        <v>1</v>
      </c>
      <c r="M111" s="53">
        <f t="shared" ref="M111" si="290">L111*E111</f>
        <v>5400</v>
      </c>
    </row>
    <row r="112" spans="1:13" ht="15" customHeight="1">
      <c r="A112" s="47">
        <v>44008</v>
      </c>
      <c r="B112" s="48" t="s">
        <v>142</v>
      </c>
      <c r="C112" s="49" t="s">
        <v>16</v>
      </c>
      <c r="D112" s="49">
        <v>1050</v>
      </c>
      <c r="E112" s="50">
        <v>1100</v>
      </c>
      <c r="F112" s="48" t="s">
        <v>15</v>
      </c>
      <c r="G112" s="51">
        <v>44.5</v>
      </c>
      <c r="H112" s="51">
        <v>50</v>
      </c>
      <c r="I112" s="51">
        <v>0</v>
      </c>
      <c r="J112" s="52">
        <f t="shared" ref="J112" si="291">(IF(F112="SELL",G112-H112,IF(F112="BUY",H112-G112)))*E112</f>
        <v>6050</v>
      </c>
      <c r="K112" s="52">
        <v>0</v>
      </c>
      <c r="L112" s="53">
        <f t="shared" ref="L112" si="292">(K112+J112)/E112</f>
        <v>5.5</v>
      </c>
      <c r="M112" s="53">
        <f t="shared" ref="M112" si="293">L112*E112</f>
        <v>6050</v>
      </c>
    </row>
    <row r="113" spans="1:13" ht="15" customHeight="1">
      <c r="A113" s="47">
        <v>44008</v>
      </c>
      <c r="B113" s="48" t="s">
        <v>192</v>
      </c>
      <c r="C113" s="49" t="s">
        <v>16</v>
      </c>
      <c r="D113" s="49">
        <v>1100</v>
      </c>
      <c r="E113" s="50">
        <v>1100</v>
      </c>
      <c r="F113" s="48" t="s">
        <v>15</v>
      </c>
      <c r="G113" s="51">
        <v>44</v>
      </c>
      <c r="H113" s="51">
        <v>34</v>
      </c>
      <c r="I113" s="51">
        <v>0</v>
      </c>
      <c r="J113" s="52">
        <f t="shared" ref="J113" si="294">(IF(F113="SELL",G113-H113,IF(F113="BUY",H113-G113)))*E113</f>
        <v>-11000</v>
      </c>
      <c r="K113" s="52">
        <v>0</v>
      </c>
      <c r="L113" s="53">
        <f t="shared" ref="L113" si="295">(K113+J113)/E113</f>
        <v>-10</v>
      </c>
      <c r="M113" s="53">
        <f t="shared" ref="M113" si="296">L113*E113</f>
        <v>-11000</v>
      </c>
    </row>
    <row r="114" spans="1:13" ht="15" customHeight="1">
      <c r="A114" s="47">
        <v>44007</v>
      </c>
      <c r="B114" s="48" t="s">
        <v>100</v>
      </c>
      <c r="C114" s="49" t="s">
        <v>16</v>
      </c>
      <c r="D114" s="49">
        <v>190</v>
      </c>
      <c r="E114" s="50">
        <v>4800</v>
      </c>
      <c r="F114" s="48" t="s">
        <v>15</v>
      </c>
      <c r="G114" s="51">
        <v>14.2</v>
      </c>
      <c r="H114" s="51">
        <v>16.8</v>
      </c>
      <c r="I114" s="51">
        <v>0</v>
      </c>
      <c r="J114" s="52">
        <f t="shared" ref="J114" si="297">(IF(F114="SELL",G114-H114,IF(F114="BUY",H114-G114)))*E114</f>
        <v>12480.000000000007</v>
      </c>
      <c r="K114" s="52">
        <v>0</v>
      </c>
      <c r="L114" s="53">
        <f t="shared" ref="L114" si="298">(K114+J114)/E114</f>
        <v>2.6000000000000014</v>
      </c>
      <c r="M114" s="53">
        <f t="shared" ref="M114" si="299">L114*E114</f>
        <v>12480.000000000007</v>
      </c>
    </row>
    <row r="115" spans="1:13" ht="15" customHeight="1">
      <c r="A115" s="47">
        <v>44006</v>
      </c>
      <c r="B115" s="48" t="s">
        <v>192</v>
      </c>
      <c r="C115" s="49" t="s">
        <v>16</v>
      </c>
      <c r="D115" s="49">
        <v>1040</v>
      </c>
      <c r="E115" s="50">
        <v>1100</v>
      </c>
      <c r="F115" s="48" t="s">
        <v>15</v>
      </c>
      <c r="G115" s="51">
        <v>14</v>
      </c>
      <c r="H115" s="51">
        <v>24.4</v>
      </c>
      <c r="I115" s="51">
        <v>0</v>
      </c>
      <c r="J115" s="52">
        <f t="shared" ref="J115" si="300">(IF(F115="SELL",G115-H115,IF(F115="BUY",H115-G115)))*E115</f>
        <v>11439.999999999998</v>
      </c>
      <c r="K115" s="52">
        <v>0</v>
      </c>
      <c r="L115" s="53">
        <f t="shared" ref="L115" si="301">(K115+J115)/E115</f>
        <v>10.399999999999999</v>
      </c>
      <c r="M115" s="53">
        <f t="shared" ref="M115" si="302">L115*E115</f>
        <v>11439.999999999998</v>
      </c>
    </row>
    <row r="116" spans="1:13" ht="15" customHeight="1">
      <c r="A116" s="47">
        <v>44005</v>
      </c>
      <c r="B116" s="48" t="s">
        <v>176</v>
      </c>
      <c r="C116" s="49" t="s">
        <v>16</v>
      </c>
      <c r="D116" s="49">
        <v>2180</v>
      </c>
      <c r="E116" s="50">
        <v>600</v>
      </c>
      <c r="F116" s="48" t="s">
        <v>15</v>
      </c>
      <c r="G116" s="51">
        <v>24</v>
      </c>
      <c r="H116" s="51">
        <v>34</v>
      </c>
      <c r="I116" s="51">
        <v>0</v>
      </c>
      <c r="J116" s="52">
        <f t="shared" ref="J116" si="303">(IF(F116="SELL",G116-H116,IF(F116="BUY",H116-G116)))*E116</f>
        <v>6000</v>
      </c>
      <c r="K116" s="52">
        <v>0</v>
      </c>
      <c r="L116" s="53">
        <f t="shared" ref="L116" si="304">(K116+J116)/E116</f>
        <v>10</v>
      </c>
      <c r="M116" s="53">
        <f t="shared" ref="M116" si="305">L116*E116</f>
        <v>6000</v>
      </c>
    </row>
    <row r="117" spans="1:13" ht="15" customHeight="1">
      <c r="A117" s="47">
        <v>44004</v>
      </c>
      <c r="B117" s="48" t="s">
        <v>117</v>
      </c>
      <c r="C117" s="49" t="s">
        <v>16</v>
      </c>
      <c r="D117" s="49">
        <v>2000</v>
      </c>
      <c r="E117" s="50">
        <v>700</v>
      </c>
      <c r="F117" s="48" t="s">
        <v>15</v>
      </c>
      <c r="G117" s="51">
        <v>36</v>
      </c>
      <c r="H117" s="51">
        <v>46</v>
      </c>
      <c r="I117" s="51">
        <v>57</v>
      </c>
      <c r="J117" s="52">
        <f t="shared" ref="J117" si="306">(IF(F117="SELL",G117-H117,IF(F117="BUY",H117-G117)))*E117</f>
        <v>7000</v>
      </c>
      <c r="K117" s="52">
        <f>700*11</f>
        <v>7700</v>
      </c>
      <c r="L117" s="53">
        <f t="shared" ref="L117" si="307">(K117+J117)/E117</f>
        <v>21</v>
      </c>
      <c r="M117" s="53">
        <f t="shared" ref="M117" si="308">L117*E117</f>
        <v>14700</v>
      </c>
    </row>
    <row r="118" spans="1:13" ht="15" customHeight="1">
      <c r="A118" s="47">
        <v>44001</v>
      </c>
      <c r="B118" s="48" t="s">
        <v>126</v>
      </c>
      <c r="C118" s="49" t="s">
        <v>16</v>
      </c>
      <c r="D118" s="49">
        <v>2000</v>
      </c>
      <c r="E118" s="50">
        <v>500</v>
      </c>
      <c r="F118" s="48" t="s">
        <v>15</v>
      </c>
      <c r="G118" s="51">
        <v>75</v>
      </c>
      <c r="H118" s="51">
        <v>90</v>
      </c>
      <c r="I118" s="51">
        <v>0</v>
      </c>
      <c r="J118" s="52">
        <f t="shared" ref="J118:J119" si="309">(IF(F118="SELL",G118-H118,IF(F118="BUY",H118-G118)))*E118</f>
        <v>7500</v>
      </c>
      <c r="K118" s="52">
        <v>0</v>
      </c>
      <c r="L118" s="53">
        <f t="shared" ref="L118:L119" si="310">(K118+J118)/E118</f>
        <v>15</v>
      </c>
      <c r="M118" s="53">
        <f t="shared" ref="M118:M119" si="311">L118*E118</f>
        <v>7500</v>
      </c>
    </row>
    <row r="119" spans="1:13" ht="15" customHeight="1">
      <c r="A119" s="47">
        <v>44000</v>
      </c>
      <c r="B119" s="48" t="s">
        <v>138</v>
      </c>
      <c r="C119" s="49" t="s">
        <v>16</v>
      </c>
      <c r="D119" s="49">
        <v>1640</v>
      </c>
      <c r="E119" s="50">
        <v>1000</v>
      </c>
      <c r="F119" s="48" t="s">
        <v>15</v>
      </c>
      <c r="G119" s="51">
        <v>36</v>
      </c>
      <c r="H119" s="51">
        <v>46</v>
      </c>
      <c r="I119" s="51">
        <v>0</v>
      </c>
      <c r="J119" s="52">
        <f t="shared" si="309"/>
        <v>10000</v>
      </c>
      <c r="K119" s="52">
        <v>0</v>
      </c>
      <c r="L119" s="53">
        <f t="shared" si="310"/>
        <v>10</v>
      </c>
      <c r="M119" s="53">
        <f t="shared" si="311"/>
        <v>10000</v>
      </c>
    </row>
    <row r="120" spans="1:13" ht="15" customHeight="1">
      <c r="A120" s="47">
        <v>43999</v>
      </c>
      <c r="B120" s="48" t="s">
        <v>130</v>
      </c>
      <c r="C120" s="49" t="s">
        <v>16</v>
      </c>
      <c r="D120" s="49">
        <v>3000</v>
      </c>
      <c r="E120" s="50">
        <v>1850</v>
      </c>
      <c r="F120" s="48" t="s">
        <v>15</v>
      </c>
      <c r="G120" s="51">
        <v>17</v>
      </c>
      <c r="H120" s="51">
        <v>20</v>
      </c>
      <c r="I120" s="51">
        <v>0</v>
      </c>
      <c r="J120" s="52">
        <f t="shared" ref="J120" si="312">(IF(F120="SELL",G120-H120,IF(F120="BUY",H120-G120)))*E120</f>
        <v>5550</v>
      </c>
      <c r="K120" s="52">
        <v>0</v>
      </c>
      <c r="L120" s="53">
        <f t="shared" ref="L120" si="313">(K120+J120)/E120</f>
        <v>3</v>
      </c>
      <c r="M120" s="53">
        <f t="shared" ref="M120" si="314">L120*E120</f>
        <v>5550</v>
      </c>
    </row>
    <row r="121" spans="1:13" ht="15" customHeight="1">
      <c r="A121" s="47">
        <v>43998</v>
      </c>
      <c r="B121" s="48" t="s">
        <v>196</v>
      </c>
      <c r="C121" s="49" t="s">
        <v>16</v>
      </c>
      <c r="D121" s="49">
        <v>3000</v>
      </c>
      <c r="E121" s="50">
        <v>400</v>
      </c>
      <c r="F121" s="48" t="s">
        <v>15</v>
      </c>
      <c r="G121" s="51">
        <v>52</v>
      </c>
      <c r="H121" s="51">
        <v>30</v>
      </c>
      <c r="I121" s="51">
        <v>0</v>
      </c>
      <c r="J121" s="52">
        <f t="shared" ref="J121" si="315">(IF(F121="SELL",G121-H121,IF(F121="BUY",H121-G121)))*E121</f>
        <v>-8800</v>
      </c>
      <c r="K121" s="52">
        <v>0</v>
      </c>
      <c r="L121" s="53">
        <f t="shared" ref="L121" si="316">(K121+J121)/E121</f>
        <v>-22</v>
      </c>
      <c r="M121" s="53">
        <f t="shared" ref="M121" si="317">L121*E121</f>
        <v>-8800</v>
      </c>
    </row>
    <row r="122" spans="1:13" ht="15" customHeight="1">
      <c r="A122" s="47">
        <v>43997</v>
      </c>
      <c r="B122" s="48" t="s">
        <v>195</v>
      </c>
      <c r="C122" s="49" t="s">
        <v>16</v>
      </c>
      <c r="D122" s="49">
        <v>1500</v>
      </c>
      <c r="E122" s="50">
        <v>500</v>
      </c>
      <c r="F122" s="48" t="s">
        <v>15</v>
      </c>
      <c r="G122" s="51">
        <v>36</v>
      </c>
      <c r="H122" s="51">
        <v>18</v>
      </c>
      <c r="I122" s="51">
        <v>0</v>
      </c>
      <c r="J122" s="52">
        <f t="shared" ref="J122" si="318">(IF(F122="SELL",G122-H122,IF(F122="BUY",H122-G122)))*E122</f>
        <v>-9000</v>
      </c>
      <c r="K122" s="52">
        <v>0</v>
      </c>
      <c r="L122" s="53">
        <f t="shared" ref="L122" si="319">(K122+J122)/E122</f>
        <v>-18</v>
      </c>
      <c r="M122" s="53">
        <f t="shared" ref="M122" si="320">L122*E122</f>
        <v>-9000</v>
      </c>
    </row>
    <row r="123" spans="1:13" ht="15" customHeight="1">
      <c r="A123" s="47">
        <v>43994</v>
      </c>
      <c r="B123" s="48" t="s">
        <v>164</v>
      </c>
      <c r="C123" s="49" t="s">
        <v>16</v>
      </c>
      <c r="D123" s="49">
        <v>1100</v>
      </c>
      <c r="E123" s="50">
        <v>1200</v>
      </c>
      <c r="F123" s="48" t="s">
        <v>15</v>
      </c>
      <c r="G123" s="51">
        <v>25.5</v>
      </c>
      <c r="H123" s="51">
        <v>33.5</v>
      </c>
      <c r="I123" s="51">
        <v>41</v>
      </c>
      <c r="J123" s="52">
        <f t="shared" ref="J123" si="321">(IF(F123="SELL",G123-H123,IF(F123="BUY",H123-G123)))*E123</f>
        <v>9600</v>
      </c>
      <c r="K123" s="52">
        <f>8.5*1200</f>
        <v>10200</v>
      </c>
      <c r="L123" s="53">
        <f t="shared" ref="L123" si="322">(K123+J123)/E123</f>
        <v>16.5</v>
      </c>
      <c r="M123" s="53">
        <f t="shared" ref="M123" si="323">L123*E123</f>
        <v>19800</v>
      </c>
    </row>
    <row r="124" spans="1:13" ht="15" customHeight="1">
      <c r="A124" s="47">
        <v>43993</v>
      </c>
      <c r="B124" s="48" t="s">
        <v>192</v>
      </c>
      <c r="C124" s="49" t="s">
        <v>16</v>
      </c>
      <c r="D124" s="49">
        <v>2500</v>
      </c>
      <c r="E124" s="50">
        <v>1100</v>
      </c>
      <c r="F124" s="48" t="s">
        <v>15</v>
      </c>
      <c r="G124" s="51">
        <v>40</v>
      </c>
      <c r="H124" s="51">
        <v>29.5</v>
      </c>
      <c r="I124" s="51">
        <v>0</v>
      </c>
      <c r="J124" s="52">
        <f t="shared" ref="J124" si="324">(IF(F124="SELL",G124-H124,IF(F124="BUY",H124-G124)))*E124</f>
        <v>-11550</v>
      </c>
      <c r="K124" s="52">
        <v>0</v>
      </c>
      <c r="L124" s="53">
        <f t="shared" ref="L124" si="325">(K124+J124)/E124</f>
        <v>-10.5</v>
      </c>
      <c r="M124" s="53">
        <f t="shared" ref="M124" si="326">L124*E124</f>
        <v>-11550</v>
      </c>
    </row>
    <row r="125" spans="1:13" ht="15" customHeight="1">
      <c r="A125" s="47">
        <v>43992</v>
      </c>
      <c r="B125" s="48" t="s">
        <v>194</v>
      </c>
      <c r="C125" s="49" t="s">
        <v>16</v>
      </c>
      <c r="D125" s="49">
        <v>2500</v>
      </c>
      <c r="E125" s="50">
        <v>500</v>
      </c>
      <c r="F125" s="48" t="s">
        <v>15</v>
      </c>
      <c r="G125" s="51">
        <v>82</v>
      </c>
      <c r="H125" s="51">
        <v>86</v>
      </c>
      <c r="I125" s="51">
        <v>0</v>
      </c>
      <c r="J125" s="52">
        <f t="shared" ref="J125" si="327">(IF(F125="SELL",G125-H125,IF(F125="BUY",H125-G125)))*E125</f>
        <v>2000</v>
      </c>
      <c r="K125" s="52">
        <v>0</v>
      </c>
      <c r="L125" s="53">
        <f t="shared" ref="L125" si="328">(K125+J125)/E125</f>
        <v>4</v>
      </c>
      <c r="M125" s="53">
        <f t="shared" ref="M125" si="329">L125*E125</f>
        <v>2000</v>
      </c>
    </row>
    <row r="126" spans="1:13" ht="15" customHeight="1">
      <c r="A126" s="47">
        <v>43991</v>
      </c>
      <c r="B126" s="48" t="s">
        <v>184</v>
      </c>
      <c r="C126" s="49" t="s">
        <v>16</v>
      </c>
      <c r="D126" s="49">
        <v>390</v>
      </c>
      <c r="E126" s="50">
        <v>5000</v>
      </c>
      <c r="F126" s="48" t="s">
        <v>15</v>
      </c>
      <c r="G126" s="51">
        <v>9.8000000000000007</v>
      </c>
      <c r="H126" s="51">
        <v>11.8</v>
      </c>
      <c r="I126" s="51">
        <v>0</v>
      </c>
      <c r="J126" s="52">
        <f t="shared" ref="J126" si="330">(IF(F126="SELL",G126-H126,IF(F126="BUY",H126-G126)))*E126</f>
        <v>10000</v>
      </c>
      <c r="K126" s="52">
        <v>0</v>
      </c>
      <c r="L126" s="53">
        <f t="shared" ref="L126" si="331">(K126+J126)/E126</f>
        <v>2</v>
      </c>
      <c r="M126" s="53">
        <f t="shared" ref="M126" si="332">L126*E126</f>
        <v>10000</v>
      </c>
    </row>
    <row r="127" spans="1:13" ht="15" customHeight="1">
      <c r="A127" s="47">
        <v>43990</v>
      </c>
      <c r="B127" s="48" t="s">
        <v>193</v>
      </c>
      <c r="C127" s="49" t="s">
        <v>16</v>
      </c>
      <c r="D127" s="49">
        <v>960</v>
      </c>
      <c r="E127" s="50">
        <v>1500</v>
      </c>
      <c r="F127" s="48" t="s">
        <v>15</v>
      </c>
      <c r="G127" s="51">
        <v>30.5</v>
      </c>
      <c r="H127" s="51">
        <v>36.5</v>
      </c>
      <c r="I127" s="51">
        <v>0</v>
      </c>
      <c r="J127" s="52">
        <f t="shared" ref="J127:J128" si="333">(IF(F127="SELL",G127-H127,IF(F127="BUY",H127-G127)))*E127</f>
        <v>9000</v>
      </c>
      <c r="K127" s="52">
        <v>0</v>
      </c>
      <c r="L127" s="53">
        <f t="shared" ref="L127:L128" si="334">(K127+J127)/E127</f>
        <v>6</v>
      </c>
      <c r="M127" s="53">
        <f t="shared" ref="M127:M128" si="335">L127*E127</f>
        <v>9000</v>
      </c>
    </row>
    <row r="128" spans="1:13" ht="15" customHeight="1">
      <c r="A128" s="47">
        <v>43987</v>
      </c>
      <c r="B128" s="48" t="s">
        <v>55</v>
      </c>
      <c r="C128" s="49" t="s">
        <v>16</v>
      </c>
      <c r="D128" s="49">
        <v>700</v>
      </c>
      <c r="E128" s="50">
        <v>1200</v>
      </c>
      <c r="F128" s="48" t="s">
        <v>15</v>
      </c>
      <c r="G128" s="51">
        <v>27</v>
      </c>
      <c r="H128" s="51">
        <v>32</v>
      </c>
      <c r="I128" s="51">
        <v>0</v>
      </c>
      <c r="J128" s="52">
        <f t="shared" si="333"/>
        <v>6000</v>
      </c>
      <c r="K128" s="52">
        <v>0</v>
      </c>
      <c r="L128" s="53">
        <f t="shared" si="334"/>
        <v>5</v>
      </c>
      <c r="M128" s="53">
        <f t="shared" si="335"/>
        <v>6000</v>
      </c>
    </row>
    <row r="129" spans="1:13" ht="15" customHeight="1">
      <c r="A129" s="47">
        <v>43985</v>
      </c>
      <c r="B129" s="48" t="s">
        <v>192</v>
      </c>
      <c r="C129" s="49" t="s">
        <v>16</v>
      </c>
      <c r="D129" s="49">
        <v>1000</v>
      </c>
      <c r="E129" s="50">
        <v>1100</v>
      </c>
      <c r="F129" s="48" t="s">
        <v>15</v>
      </c>
      <c r="G129" s="51">
        <v>35</v>
      </c>
      <c r="H129" s="51">
        <v>43</v>
      </c>
      <c r="I129" s="51">
        <v>0</v>
      </c>
      <c r="J129" s="52">
        <f t="shared" ref="J129" si="336">(IF(F129="SELL",G129-H129,IF(F129="BUY",H129-G129)))*E129</f>
        <v>8800</v>
      </c>
      <c r="K129" s="52">
        <v>0</v>
      </c>
      <c r="L129" s="53">
        <f t="shared" ref="L129" si="337">(K129+J129)/E129</f>
        <v>8</v>
      </c>
      <c r="M129" s="53">
        <f t="shared" ref="M129" si="338">L129*E129</f>
        <v>8800</v>
      </c>
    </row>
    <row r="130" spans="1:13" ht="15" customHeight="1">
      <c r="A130" s="47">
        <v>43983</v>
      </c>
      <c r="B130" s="48" t="s">
        <v>179</v>
      </c>
      <c r="C130" s="49" t="s">
        <v>16</v>
      </c>
      <c r="D130" s="49">
        <v>370</v>
      </c>
      <c r="E130" s="50">
        <v>2300</v>
      </c>
      <c r="F130" s="48" t="s">
        <v>15</v>
      </c>
      <c r="G130" s="51">
        <v>15</v>
      </c>
      <c r="H130" s="51">
        <v>19</v>
      </c>
      <c r="I130" s="51">
        <v>28</v>
      </c>
      <c r="J130" s="52">
        <f t="shared" ref="J130:J131" si="339">(IF(F130="SELL",G130-H130,IF(F130="BUY",H130-G130)))*E130</f>
        <v>9200</v>
      </c>
      <c r="K130" s="52">
        <f>2300*9</f>
        <v>20700</v>
      </c>
      <c r="L130" s="53">
        <f t="shared" ref="L130:L131" si="340">(K130+J130)/E130</f>
        <v>13</v>
      </c>
      <c r="M130" s="53">
        <f t="shared" ref="M130:M131" si="341">L130*E130</f>
        <v>29900</v>
      </c>
    </row>
    <row r="131" spans="1:13" ht="15" customHeight="1">
      <c r="A131" s="47">
        <v>43980</v>
      </c>
      <c r="B131" s="48" t="s">
        <v>152</v>
      </c>
      <c r="C131" s="49" t="s">
        <v>16</v>
      </c>
      <c r="D131" s="49">
        <v>860</v>
      </c>
      <c r="E131" s="50">
        <v>750</v>
      </c>
      <c r="F131" s="48" t="s">
        <v>15</v>
      </c>
      <c r="G131" s="51">
        <v>55</v>
      </c>
      <c r="H131" s="51">
        <v>68</v>
      </c>
      <c r="I131" s="51">
        <v>74</v>
      </c>
      <c r="J131" s="52">
        <f t="shared" si="339"/>
        <v>9750</v>
      </c>
      <c r="K131" s="52">
        <f>750*6</f>
        <v>4500</v>
      </c>
      <c r="L131" s="53">
        <f t="shared" si="340"/>
        <v>19</v>
      </c>
      <c r="M131" s="53">
        <f t="shared" si="341"/>
        <v>14250</v>
      </c>
    </row>
    <row r="132" spans="1:13" ht="15" customHeight="1">
      <c r="A132" s="47">
        <v>43979</v>
      </c>
      <c r="B132" s="48" t="s">
        <v>191</v>
      </c>
      <c r="C132" s="49" t="s">
        <v>16</v>
      </c>
      <c r="D132" s="49">
        <v>600</v>
      </c>
      <c r="E132" s="50">
        <v>1851</v>
      </c>
      <c r="F132" s="48" t="s">
        <v>15</v>
      </c>
      <c r="G132" s="51">
        <v>10.5</v>
      </c>
      <c r="H132" s="51">
        <v>7</v>
      </c>
      <c r="I132" s="51">
        <v>0</v>
      </c>
      <c r="J132" s="52">
        <f t="shared" ref="J132" si="342">(IF(F132="SELL",G132-H132,IF(F132="BUY",H132-G132)))*E132</f>
        <v>-6478.5</v>
      </c>
      <c r="K132" s="52">
        <v>0</v>
      </c>
      <c r="L132" s="53">
        <f t="shared" ref="L132" si="343">(K132+J132)/E132</f>
        <v>-3.5</v>
      </c>
      <c r="M132" s="53">
        <f t="shared" ref="M132" si="344">L132*E132</f>
        <v>-6478.5</v>
      </c>
    </row>
    <row r="133" spans="1:13" ht="15" customHeight="1">
      <c r="A133" s="47">
        <v>43979</v>
      </c>
      <c r="B133" s="48" t="s">
        <v>84</v>
      </c>
      <c r="C133" s="49" t="s">
        <v>16</v>
      </c>
      <c r="D133" s="49">
        <v>170</v>
      </c>
      <c r="E133" s="50">
        <v>3000</v>
      </c>
      <c r="F133" s="48" t="s">
        <v>15</v>
      </c>
      <c r="G133" s="51">
        <v>7.2</v>
      </c>
      <c r="H133" s="51">
        <v>5.5</v>
      </c>
      <c r="I133" s="51">
        <v>0</v>
      </c>
      <c r="J133" s="52">
        <f t="shared" ref="J133" si="345">(IF(F133="SELL",G133-H133,IF(F133="BUY",H133-G133)))*E133</f>
        <v>-5100.0000000000009</v>
      </c>
      <c r="K133" s="52">
        <v>0</v>
      </c>
      <c r="L133" s="53">
        <f t="shared" ref="L133" si="346">(K133+J133)/E133</f>
        <v>-1.7000000000000004</v>
      </c>
      <c r="M133" s="53">
        <f t="shared" ref="M133" si="347">L133*E133</f>
        <v>-5100.0000000000009</v>
      </c>
    </row>
    <row r="134" spans="1:13" ht="15" customHeight="1">
      <c r="A134" s="47">
        <v>43978</v>
      </c>
      <c r="B134" s="48" t="s">
        <v>127</v>
      </c>
      <c r="C134" s="49" t="s">
        <v>16</v>
      </c>
      <c r="D134" s="49">
        <v>110</v>
      </c>
      <c r="E134" s="50">
        <v>2400</v>
      </c>
      <c r="F134" s="48" t="s">
        <v>15</v>
      </c>
      <c r="G134" s="51">
        <v>9</v>
      </c>
      <c r="H134" s="51">
        <v>12</v>
      </c>
      <c r="I134" s="51">
        <v>18</v>
      </c>
      <c r="J134" s="52">
        <f t="shared" ref="J134" si="348">(IF(F134="SELL",G134-H134,IF(F134="BUY",H134-G134)))*E134</f>
        <v>7200</v>
      </c>
      <c r="K134" s="52">
        <v>0</v>
      </c>
      <c r="L134" s="53">
        <f t="shared" ref="L134" si="349">(K134+J134)/E134</f>
        <v>3</v>
      </c>
      <c r="M134" s="53">
        <f t="shared" ref="M134" si="350">L134*E134</f>
        <v>7200</v>
      </c>
    </row>
    <row r="135" spans="1:13" ht="15" customHeight="1">
      <c r="A135" s="47">
        <v>43977</v>
      </c>
      <c r="B135" s="48" t="s">
        <v>184</v>
      </c>
      <c r="C135" s="49" t="s">
        <v>16</v>
      </c>
      <c r="D135" s="49">
        <v>370</v>
      </c>
      <c r="E135" s="50">
        <v>2700</v>
      </c>
      <c r="F135" s="48" t="s">
        <v>15</v>
      </c>
      <c r="G135" s="51">
        <v>5</v>
      </c>
      <c r="H135" s="51">
        <v>2</v>
      </c>
      <c r="I135" s="51">
        <v>0</v>
      </c>
      <c r="J135" s="52">
        <f t="shared" ref="J135" si="351">(IF(F135="SELL",G135-H135,IF(F135="BUY",H135-G135)))*E135</f>
        <v>-8100</v>
      </c>
      <c r="K135" s="52">
        <v>0</v>
      </c>
      <c r="L135" s="53">
        <f t="shared" ref="L135" si="352">(K135+J135)/E135</f>
        <v>-3</v>
      </c>
      <c r="M135" s="53">
        <f t="shared" ref="M135" si="353">L135*E135</f>
        <v>-8100</v>
      </c>
    </row>
    <row r="136" spans="1:13" ht="15" customHeight="1">
      <c r="A136" s="47">
        <v>43973</v>
      </c>
      <c r="B136" s="48" t="s">
        <v>190</v>
      </c>
      <c r="C136" s="49" t="s">
        <v>16</v>
      </c>
      <c r="D136" s="49">
        <v>1900</v>
      </c>
      <c r="E136" s="50">
        <v>500</v>
      </c>
      <c r="F136" s="48" t="s">
        <v>15</v>
      </c>
      <c r="G136" s="51">
        <v>55</v>
      </c>
      <c r="H136" s="51">
        <v>75</v>
      </c>
      <c r="I136" s="51">
        <v>0</v>
      </c>
      <c r="J136" s="52">
        <f t="shared" ref="J136" si="354">(IF(F136="SELL",G136-H136,IF(F136="BUY",H136-G136)))*E136</f>
        <v>10000</v>
      </c>
      <c r="K136" s="52">
        <v>0</v>
      </c>
      <c r="L136" s="53">
        <f t="shared" ref="L136" si="355">(K136+J136)/E136</f>
        <v>20</v>
      </c>
      <c r="M136" s="53">
        <f t="shared" ref="M136" si="356">L136*E136</f>
        <v>10000</v>
      </c>
    </row>
    <row r="137" spans="1:13" ht="15" customHeight="1">
      <c r="A137" s="47">
        <v>43972</v>
      </c>
      <c r="B137" s="48" t="s">
        <v>97</v>
      </c>
      <c r="C137" s="49" t="s">
        <v>16</v>
      </c>
      <c r="D137" s="49">
        <v>350</v>
      </c>
      <c r="E137" s="50">
        <v>2300</v>
      </c>
      <c r="F137" s="48" t="s">
        <v>15</v>
      </c>
      <c r="G137" s="51">
        <v>11</v>
      </c>
      <c r="H137" s="51">
        <v>7</v>
      </c>
      <c r="I137" s="51">
        <v>0</v>
      </c>
      <c r="J137" s="52">
        <f t="shared" ref="J137" si="357">(IF(F137="SELL",G137-H137,IF(F137="BUY",H137-G137)))*E137</f>
        <v>-9200</v>
      </c>
      <c r="K137" s="52">
        <v>0</v>
      </c>
      <c r="L137" s="53">
        <f t="shared" ref="L137" si="358">(K137+J137)/E137</f>
        <v>-4</v>
      </c>
      <c r="M137" s="53">
        <f t="shared" ref="M137" si="359">L137*E137</f>
        <v>-9200</v>
      </c>
    </row>
    <row r="138" spans="1:13" ht="15" customHeight="1">
      <c r="A138" s="47">
        <v>43971</v>
      </c>
      <c r="B138" s="48" t="s">
        <v>188</v>
      </c>
      <c r="C138" s="49" t="s">
        <v>16</v>
      </c>
      <c r="D138" s="49">
        <v>310</v>
      </c>
      <c r="E138" s="50">
        <v>2500</v>
      </c>
      <c r="F138" s="48" t="s">
        <v>15</v>
      </c>
      <c r="G138" s="51">
        <v>15.5</v>
      </c>
      <c r="H138" s="51">
        <v>18.5</v>
      </c>
      <c r="I138" s="51">
        <v>0</v>
      </c>
      <c r="J138" s="52">
        <f t="shared" ref="J138" si="360">(IF(F138="SELL",G138-H138,IF(F138="BUY",H138-G138)))*E138</f>
        <v>7500</v>
      </c>
      <c r="K138" s="52">
        <v>0</v>
      </c>
      <c r="L138" s="53">
        <f t="shared" ref="L138" si="361">(K138+J138)/E138</f>
        <v>3</v>
      </c>
      <c r="M138" s="53">
        <f t="shared" ref="M138" si="362">L138*E138</f>
        <v>7500</v>
      </c>
    </row>
    <row r="139" spans="1:13" ht="15" customHeight="1">
      <c r="A139" s="47">
        <v>43970</v>
      </c>
      <c r="B139" s="48" t="s">
        <v>130</v>
      </c>
      <c r="C139" s="49" t="s">
        <v>16</v>
      </c>
      <c r="D139" s="49">
        <v>590</v>
      </c>
      <c r="E139" s="50">
        <v>1851</v>
      </c>
      <c r="F139" s="48" t="s">
        <v>15</v>
      </c>
      <c r="G139" s="51">
        <v>16</v>
      </c>
      <c r="H139" s="51">
        <v>24</v>
      </c>
      <c r="I139" s="51">
        <v>27</v>
      </c>
      <c r="J139" s="52">
        <f t="shared" ref="J139" si="363">(IF(F139="SELL",G139-H139,IF(F139="BUY",H139-G139)))*E139</f>
        <v>14808</v>
      </c>
      <c r="K139" s="52">
        <f>3*1851</f>
        <v>5553</v>
      </c>
      <c r="L139" s="53">
        <f t="shared" ref="L139" si="364">(K139+J139)/E139</f>
        <v>11</v>
      </c>
      <c r="M139" s="53">
        <f t="shared" ref="M139" si="365">L139*E139</f>
        <v>20361</v>
      </c>
    </row>
    <row r="140" spans="1:13" ht="15" customHeight="1">
      <c r="A140" s="47">
        <v>43969</v>
      </c>
      <c r="B140" s="48" t="s">
        <v>55</v>
      </c>
      <c r="C140" s="49" t="s">
        <v>16</v>
      </c>
      <c r="D140" s="49">
        <v>670</v>
      </c>
      <c r="E140" s="50">
        <v>2400</v>
      </c>
      <c r="F140" s="48" t="s">
        <v>15</v>
      </c>
      <c r="G140" s="51">
        <v>18</v>
      </c>
      <c r="H140" s="51">
        <v>20</v>
      </c>
      <c r="I140" s="51">
        <v>0</v>
      </c>
      <c r="J140" s="52">
        <f t="shared" ref="J140" si="366">(IF(F140="SELL",G140-H140,IF(F140="BUY",H140-G140)))*E140</f>
        <v>4800</v>
      </c>
      <c r="K140" s="52">
        <v>0</v>
      </c>
      <c r="L140" s="53">
        <f t="shared" ref="L140" si="367">(K140+J140)/E140</f>
        <v>2</v>
      </c>
      <c r="M140" s="53">
        <f t="shared" ref="M140" si="368">L140*E140</f>
        <v>4800</v>
      </c>
    </row>
    <row r="141" spans="1:13" ht="15" customHeight="1">
      <c r="A141" s="47">
        <v>43969</v>
      </c>
      <c r="B141" s="48" t="s">
        <v>189</v>
      </c>
      <c r="C141" s="49" t="s">
        <v>16</v>
      </c>
      <c r="D141" s="49">
        <v>660</v>
      </c>
      <c r="E141" s="50">
        <v>1000</v>
      </c>
      <c r="F141" s="48" t="s">
        <v>15</v>
      </c>
      <c r="G141" s="51">
        <v>40</v>
      </c>
      <c r="H141" s="51">
        <v>32</v>
      </c>
      <c r="I141" s="51">
        <v>0</v>
      </c>
      <c r="J141" s="52">
        <f t="shared" ref="J141:J142" si="369">(IF(F141="SELL",G141-H141,IF(F141="BUY",H141-G141)))*E141</f>
        <v>-8000</v>
      </c>
      <c r="K141" s="52">
        <v>0</v>
      </c>
      <c r="L141" s="53">
        <f t="shared" ref="L141:L142" si="370">(K141+J141)/E141</f>
        <v>-8</v>
      </c>
      <c r="M141" s="53">
        <f t="shared" ref="M141:M142" si="371">L141*E141</f>
        <v>-8000</v>
      </c>
    </row>
    <row r="142" spans="1:13" ht="15" customHeight="1">
      <c r="A142" s="47">
        <v>43965</v>
      </c>
      <c r="B142" s="48" t="s">
        <v>124</v>
      </c>
      <c r="C142" s="49" t="s">
        <v>16</v>
      </c>
      <c r="D142" s="49">
        <v>90</v>
      </c>
      <c r="E142" s="50">
        <v>4300</v>
      </c>
      <c r="F142" s="48" t="s">
        <v>15</v>
      </c>
      <c r="G142" s="51">
        <v>4.5</v>
      </c>
      <c r="H142" s="51">
        <v>3.3</v>
      </c>
      <c r="I142" s="51">
        <v>0</v>
      </c>
      <c r="J142" s="52">
        <f t="shared" si="369"/>
        <v>-5160.0000000000009</v>
      </c>
      <c r="K142" s="52">
        <v>0</v>
      </c>
      <c r="L142" s="53">
        <f t="shared" si="370"/>
        <v>-1.2000000000000002</v>
      </c>
      <c r="M142" s="53">
        <f t="shared" si="371"/>
        <v>-5160.0000000000009</v>
      </c>
    </row>
    <row r="143" spans="1:13" ht="15" customHeight="1">
      <c r="A143" s="47">
        <v>43964</v>
      </c>
      <c r="B143" s="48" t="s">
        <v>188</v>
      </c>
      <c r="C143" s="49" t="s">
        <v>16</v>
      </c>
      <c r="D143" s="49">
        <v>300</v>
      </c>
      <c r="E143" s="50">
        <v>2500</v>
      </c>
      <c r="F143" s="48" t="s">
        <v>15</v>
      </c>
      <c r="G143" s="51">
        <v>12.8</v>
      </c>
      <c r="H143" s="51">
        <v>15.8</v>
      </c>
      <c r="I143" s="51">
        <v>20</v>
      </c>
      <c r="J143" s="52">
        <f t="shared" ref="J143" si="372">(IF(F143="SELL",G143-H143,IF(F143="BUY",H143-G143)))*E143</f>
        <v>7500</v>
      </c>
      <c r="K143" s="52">
        <f>4.8*2500</f>
        <v>12000</v>
      </c>
      <c r="L143" s="53">
        <f t="shared" ref="L143" si="373">(K143+J143)/E143</f>
        <v>7.8</v>
      </c>
      <c r="M143" s="53">
        <f t="shared" ref="M143" si="374">L143*E143</f>
        <v>19500</v>
      </c>
    </row>
    <row r="144" spans="1:13" ht="15" customHeight="1">
      <c r="A144" s="47">
        <v>43957</v>
      </c>
      <c r="B144" s="48" t="s">
        <v>131</v>
      </c>
      <c r="C144" s="49" t="s">
        <v>16</v>
      </c>
      <c r="D144" s="49">
        <v>500</v>
      </c>
      <c r="E144" s="50">
        <v>3750</v>
      </c>
      <c r="F144" s="48" t="s">
        <v>15</v>
      </c>
      <c r="G144" s="51">
        <v>14.5</v>
      </c>
      <c r="H144" s="51">
        <v>16.5</v>
      </c>
      <c r="I144" s="51">
        <v>0</v>
      </c>
      <c r="J144" s="52">
        <f t="shared" ref="J144" si="375">(IF(F144="SELL",G144-H144,IF(F144="BUY",H144-G144)))*E144</f>
        <v>7500</v>
      </c>
      <c r="K144" s="52">
        <v>0</v>
      </c>
      <c r="L144" s="53">
        <f t="shared" ref="L144" si="376">(K144+J144)/E144</f>
        <v>2</v>
      </c>
      <c r="M144" s="53">
        <f t="shared" ref="M144" si="377">L144*E144</f>
        <v>7500</v>
      </c>
    </row>
    <row r="145" spans="1:13" ht="15" customHeight="1">
      <c r="A145" s="47">
        <v>43956</v>
      </c>
      <c r="B145" s="48" t="s">
        <v>84</v>
      </c>
      <c r="C145" s="49" t="s">
        <v>14</v>
      </c>
      <c r="D145" s="49">
        <v>170</v>
      </c>
      <c r="E145" s="50">
        <v>3000</v>
      </c>
      <c r="F145" s="48" t="s">
        <v>15</v>
      </c>
      <c r="G145" s="51">
        <v>11.5</v>
      </c>
      <c r="H145" s="51">
        <v>14.5</v>
      </c>
      <c r="I145" s="51">
        <v>0</v>
      </c>
      <c r="J145" s="52">
        <f t="shared" ref="J145" si="378">(IF(F145="SELL",G145-H145,IF(F145="BUY",H145-G145)))*E145</f>
        <v>9000</v>
      </c>
      <c r="K145" s="52">
        <v>0</v>
      </c>
      <c r="L145" s="53">
        <f t="shared" ref="L145" si="379">(K145+J145)/E145</f>
        <v>3</v>
      </c>
      <c r="M145" s="53">
        <f t="shared" ref="M145" si="380">L145*E145</f>
        <v>9000</v>
      </c>
    </row>
    <row r="146" spans="1:13" ht="15" customHeight="1">
      <c r="A146" s="47">
        <v>43956</v>
      </c>
      <c r="B146" s="48" t="s">
        <v>187</v>
      </c>
      <c r="C146" s="49" t="s">
        <v>16</v>
      </c>
      <c r="D146" s="49">
        <v>580</v>
      </c>
      <c r="E146" s="50">
        <v>1851</v>
      </c>
      <c r="F146" s="48" t="s">
        <v>15</v>
      </c>
      <c r="G146" s="51">
        <v>21</v>
      </c>
      <c r="H146" s="51">
        <v>14</v>
      </c>
      <c r="I146" s="51">
        <v>0</v>
      </c>
      <c r="J146" s="52">
        <f t="shared" ref="J146" si="381">(IF(F146="SELL",G146-H146,IF(F146="BUY",H146-G146)))*E146</f>
        <v>-12957</v>
      </c>
      <c r="K146" s="52">
        <v>0</v>
      </c>
      <c r="L146" s="53">
        <f t="shared" ref="L146" si="382">(K146+J146)/E146</f>
        <v>-7</v>
      </c>
      <c r="M146" s="53">
        <f t="shared" ref="M146" si="383">L146*E146</f>
        <v>-12957</v>
      </c>
    </row>
    <row r="147" spans="1:13" ht="15" customHeight="1">
      <c r="A147" s="47">
        <v>43955</v>
      </c>
      <c r="B147" s="48" t="s">
        <v>186</v>
      </c>
      <c r="C147" s="49" t="s">
        <v>16</v>
      </c>
      <c r="D147" s="49">
        <v>620</v>
      </c>
      <c r="E147" s="50">
        <v>1150</v>
      </c>
      <c r="F147" s="48" t="s">
        <v>15</v>
      </c>
      <c r="G147" s="51">
        <v>33</v>
      </c>
      <c r="H147" s="51">
        <v>41</v>
      </c>
      <c r="I147" s="51">
        <v>0</v>
      </c>
      <c r="J147" s="52">
        <f t="shared" ref="J147" si="384">(IF(F147="SELL",G147-H147,IF(F147="BUY",H147-G147)))*E147</f>
        <v>9200</v>
      </c>
      <c r="K147" s="52">
        <v>0</v>
      </c>
      <c r="L147" s="53">
        <f t="shared" ref="L147" si="385">(K147+J147)/E147</f>
        <v>8</v>
      </c>
      <c r="M147" s="53">
        <f t="shared" ref="M147" si="386">L147*E147</f>
        <v>9200</v>
      </c>
    </row>
    <row r="148" spans="1:13" ht="15" customHeight="1">
      <c r="A148" s="47">
        <v>43951</v>
      </c>
      <c r="B148" s="48" t="s">
        <v>138</v>
      </c>
      <c r="C148" s="49" t="s">
        <v>16</v>
      </c>
      <c r="D148" s="49">
        <v>1620</v>
      </c>
      <c r="E148" s="50">
        <v>1000</v>
      </c>
      <c r="F148" s="48" t="s">
        <v>15</v>
      </c>
      <c r="G148" s="51">
        <v>33</v>
      </c>
      <c r="H148" s="51">
        <v>42.65</v>
      </c>
      <c r="I148" s="51">
        <v>0</v>
      </c>
      <c r="J148" s="52">
        <f t="shared" ref="J148" si="387">(IF(F148="SELL",G148-H148,IF(F148="BUY",H148-G148)))*E148</f>
        <v>9649.9999999999982</v>
      </c>
      <c r="K148" s="52">
        <v>0</v>
      </c>
      <c r="L148" s="53">
        <f t="shared" ref="L148" si="388">(K148+J148)/E148</f>
        <v>9.6499999999999986</v>
      </c>
      <c r="M148" s="53">
        <f t="shared" ref="M148" si="389">L148*E148</f>
        <v>9649.9999999999982</v>
      </c>
    </row>
    <row r="149" spans="1:13" ht="15" customHeight="1">
      <c r="A149" s="47">
        <v>43950</v>
      </c>
      <c r="B149" s="48" t="s">
        <v>184</v>
      </c>
      <c r="C149" s="49" t="s">
        <v>16</v>
      </c>
      <c r="D149" s="49">
        <v>350</v>
      </c>
      <c r="E149" s="50">
        <v>2700</v>
      </c>
      <c r="F149" s="48" t="s">
        <v>15</v>
      </c>
      <c r="G149" s="51">
        <v>5</v>
      </c>
      <c r="H149" s="51">
        <v>5.4</v>
      </c>
      <c r="I149" s="51">
        <v>0</v>
      </c>
      <c r="J149" s="52">
        <f t="shared" ref="J149" si="390">(IF(F149="SELL",G149-H149,IF(F149="BUY",H149-G149)))*E149</f>
        <v>1080.0000000000009</v>
      </c>
      <c r="K149" s="52">
        <v>0</v>
      </c>
      <c r="L149" s="53">
        <f t="shared" ref="L149" si="391">(K149+J149)/E149</f>
        <v>0.40000000000000036</v>
      </c>
      <c r="M149" s="53">
        <f t="shared" ref="M149" si="392">L149*E149</f>
        <v>1080.0000000000009</v>
      </c>
    </row>
    <row r="150" spans="1:13" ht="15" customHeight="1">
      <c r="A150" s="47">
        <v>43949</v>
      </c>
      <c r="B150" s="48" t="s">
        <v>185</v>
      </c>
      <c r="C150" s="49" t="s">
        <v>16</v>
      </c>
      <c r="D150" s="49">
        <v>500</v>
      </c>
      <c r="E150" s="50">
        <v>2000</v>
      </c>
      <c r="F150" s="48" t="s">
        <v>15</v>
      </c>
      <c r="G150" s="51">
        <v>10</v>
      </c>
      <c r="H150" s="51">
        <v>6.5</v>
      </c>
      <c r="I150" s="51">
        <v>0</v>
      </c>
      <c r="J150" s="52">
        <f t="shared" ref="J150" si="393">(IF(F150="SELL",G150-H150,IF(F150="BUY",H150-G150)))*E150</f>
        <v>-7000</v>
      </c>
      <c r="K150" s="52">
        <v>0</v>
      </c>
      <c r="L150" s="53">
        <f t="shared" ref="L150" si="394">(K150+J150)/E150</f>
        <v>-3.5</v>
      </c>
      <c r="M150" s="53">
        <f t="shared" ref="M150" si="395">L150*E150</f>
        <v>-7000</v>
      </c>
    </row>
    <row r="151" spans="1:13" ht="15" customHeight="1">
      <c r="A151" s="47">
        <v>43948</v>
      </c>
      <c r="B151" s="48" t="s">
        <v>184</v>
      </c>
      <c r="C151" s="49" t="s">
        <v>16</v>
      </c>
      <c r="D151" s="49">
        <v>340</v>
      </c>
      <c r="E151" s="50">
        <v>2700</v>
      </c>
      <c r="F151" s="48" t="s">
        <v>15</v>
      </c>
      <c r="G151" s="51">
        <v>8</v>
      </c>
      <c r="H151" s="51">
        <v>11</v>
      </c>
      <c r="I151" s="51">
        <v>13</v>
      </c>
      <c r="J151" s="52">
        <f t="shared" ref="J151" si="396">(IF(F151="SELL",G151-H151,IF(F151="BUY",H151-G151)))*E151</f>
        <v>8100</v>
      </c>
      <c r="K151" s="52">
        <v>5400</v>
      </c>
      <c r="L151" s="53">
        <f t="shared" ref="L151" si="397">(K151+J151)/E151</f>
        <v>5</v>
      </c>
      <c r="M151" s="53">
        <f t="shared" ref="M151" si="398">L151*E151</f>
        <v>13500</v>
      </c>
    </row>
    <row r="152" spans="1:13" ht="15" customHeight="1">
      <c r="A152" s="47">
        <v>43945</v>
      </c>
      <c r="B152" s="48" t="s">
        <v>97</v>
      </c>
      <c r="C152" s="49" t="s">
        <v>16</v>
      </c>
      <c r="D152" s="49">
        <v>355</v>
      </c>
      <c r="E152" s="50">
        <v>2300</v>
      </c>
      <c r="F152" s="48" t="s">
        <v>15</v>
      </c>
      <c r="G152" s="51">
        <v>11.5</v>
      </c>
      <c r="H152" s="51">
        <v>14.5</v>
      </c>
      <c r="I152" s="51">
        <v>0</v>
      </c>
      <c r="J152" s="52">
        <f t="shared" ref="J152" si="399">(IF(F152="SELL",G152-H152,IF(F152="BUY",H152-G152)))*E152</f>
        <v>6900</v>
      </c>
      <c r="K152" s="52">
        <v>0</v>
      </c>
      <c r="L152" s="53">
        <f t="shared" ref="L152" si="400">(K152+J152)/E152</f>
        <v>3</v>
      </c>
      <c r="M152" s="53">
        <f t="shared" ref="M152" si="401">L152*E152</f>
        <v>6900</v>
      </c>
    </row>
    <row r="153" spans="1:13" ht="15" customHeight="1">
      <c r="A153" s="47">
        <v>43942</v>
      </c>
      <c r="B153" s="48" t="s">
        <v>97</v>
      </c>
      <c r="C153" s="49" t="s">
        <v>16</v>
      </c>
      <c r="D153" s="49">
        <v>380</v>
      </c>
      <c r="E153" s="50">
        <v>2300</v>
      </c>
      <c r="F153" s="48" t="s">
        <v>15</v>
      </c>
      <c r="G153" s="51">
        <v>12.5</v>
      </c>
      <c r="H153" s="51">
        <v>16.399999999999999</v>
      </c>
      <c r="I153" s="51">
        <v>0</v>
      </c>
      <c r="J153" s="52">
        <f t="shared" ref="J153" si="402">(IF(F153="SELL",G153-H153,IF(F153="BUY",H153-G153)))*E153</f>
        <v>8969.9999999999964</v>
      </c>
      <c r="K153" s="52">
        <v>0</v>
      </c>
      <c r="L153" s="53">
        <f t="shared" ref="L153" si="403">(K153+J153)/E153</f>
        <v>3.8999999999999986</v>
      </c>
      <c r="M153" s="53">
        <f t="shared" ref="M153" si="404">L153*E153</f>
        <v>8969.9999999999964</v>
      </c>
    </row>
    <row r="154" spans="1:13" ht="15" customHeight="1">
      <c r="A154" s="47">
        <v>43941</v>
      </c>
      <c r="B154" s="48" t="s">
        <v>154</v>
      </c>
      <c r="C154" s="49" t="s">
        <v>16</v>
      </c>
      <c r="D154" s="49">
        <v>120</v>
      </c>
      <c r="E154" s="50">
        <v>6000</v>
      </c>
      <c r="F154" s="48" t="s">
        <v>15</v>
      </c>
      <c r="G154" s="51">
        <v>5.5</v>
      </c>
      <c r="H154" s="51">
        <v>3.7</v>
      </c>
      <c r="I154" s="51">
        <v>0</v>
      </c>
      <c r="J154" s="52">
        <f t="shared" ref="J154" si="405">(IF(F154="SELL",G154-H154,IF(F154="BUY",H154-G154)))*E154</f>
        <v>-10799.999999999998</v>
      </c>
      <c r="K154" s="52">
        <v>0</v>
      </c>
      <c r="L154" s="53">
        <f t="shared" ref="L154" si="406">(K154+J154)/E154</f>
        <v>-1.7999999999999996</v>
      </c>
      <c r="M154" s="53">
        <f t="shared" ref="M154" si="407">L154*E154</f>
        <v>-10799.999999999998</v>
      </c>
    </row>
    <row r="155" spans="1:13" ht="15" customHeight="1">
      <c r="A155" s="47">
        <v>43938</v>
      </c>
      <c r="B155" s="48" t="s">
        <v>97</v>
      </c>
      <c r="C155" s="49" t="s">
        <v>16</v>
      </c>
      <c r="D155" s="49">
        <v>400</v>
      </c>
      <c r="E155" s="50">
        <v>2300</v>
      </c>
      <c r="F155" s="48" t="s">
        <v>15</v>
      </c>
      <c r="G155" s="51">
        <v>7</v>
      </c>
      <c r="H155" s="51">
        <v>9</v>
      </c>
      <c r="I155" s="51">
        <v>0</v>
      </c>
      <c r="J155" s="52">
        <f t="shared" ref="J155" si="408">(IF(F155="SELL",G155-H155,IF(F155="BUY",H155-G155)))*E155</f>
        <v>4600</v>
      </c>
      <c r="K155" s="52">
        <v>0</v>
      </c>
      <c r="L155" s="53">
        <f t="shared" ref="L155" si="409">(K155+J155)/E155</f>
        <v>2</v>
      </c>
      <c r="M155" s="53">
        <f t="shared" ref="M155" si="410">L155*E155</f>
        <v>4600</v>
      </c>
    </row>
    <row r="156" spans="1:13" ht="15" customHeight="1">
      <c r="A156" s="47">
        <v>43937</v>
      </c>
      <c r="B156" s="48" t="s">
        <v>97</v>
      </c>
      <c r="C156" s="49" t="s">
        <v>16</v>
      </c>
      <c r="D156" s="49">
        <v>400</v>
      </c>
      <c r="E156" s="50">
        <v>2300</v>
      </c>
      <c r="F156" s="48" t="s">
        <v>15</v>
      </c>
      <c r="G156" s="51">
        <v>10.5</v>
      </c>
      <c r="H156" s="51">
        <v>6</v>
      </c>
      <c r="I156" s="51">
        <v>0</v>
      </c>
      <c r="J156" s="52">
        <f t="shared" ref="J156" si="411">(IF(F156="SELL",G156-H156,IF(F156="BUY",H156-G156)))*E156</f>
        <v>-10350</v>
      </c>
      <c r="K156" s="52">
        <v>0</v>
      </c>
      <c r="L156" s="53">
        <f t="shared" ref="L156" si="412">(K156+J156)/E156</f>
        <v>-4.5</v>
      </c>
      <c r="M156" s="53">
        <f t="shared" ref="M156" si="413">L156*E156</f>
        <v>-10350</v>
      </c>
    </row>
    <row r="157" spans="1:13" ht="15" customHeight="1">
      <c r="A157" s="47">
        <v>43937</v>
      </c>
      <c r="B157" s="48" t="s">
        <v>121</v>
      </c>
      <c r="C157" s="49" t="s">
        <v>14</v>
      </c>
      <c r="D157" s="49">
        <v>1800</v>
      </c>
      <c r="E157" s="50">
        <v>500</v>
      </c>
      <c r="F157" s="48" t="s">
        <v>15</v>
      </c>
      <c r="G157" s="51">
        <v>50</v>
      </c>
      <c r="H157" s="51">
        <v>70</v>
      </c>
      <c r="I157" s="51">
        <v>0</v>
      </c>
      <c r="J157" s="52">
        <f t="shared" ref="J157" si="414">(IF(F157="SELL",G157-H157,IF(F157="BUY",H157-G157)))*E157</f>
        <v>10000</v>
      </c>
      <c r="K157" s="52">
        <v>0</v>
      </c>
      <c r="L157" s="53">
        <f t="shared" ref="L157" si="415">(K157+J157)/E157</f>
        <v>20</v>
      </c>
      <c r="M157" s="53">
        <f t="shared" ref="M157" si="416">L157*E157</f>
        <v>10000</v>
      </c>
    </row>
    <row r="158" spans="1:13" ht="15" customHeight="1">
      <c r="A158" s="47">
        <v>43936</v>
      </c>
      <c r="B158" s="48" t="s">
        <v>50</v>
      </c>
      <c r="C158" s="49" t="s">
        <v>16</v>
      </c>
      <c r="D158" s="49">
        <v>550</v>
      </c>
      <c r="E158" s="50">
        <v>1250</v>
      </c>
      <c r="F158" s="48" t="s">
        <v>15</v>
      </c>
      <c r="G158" s="51">
        <v>16</v>
      </c>
      <c r="H158" s="51">
        <v>9</v>
      </c>
      <c r="I158" s="51">
        <v>21.5</v>
      </c>
      <c r="J158" s="52">
        <f t="shared" ref="J158" si="417">(IF(F158="SELL",G158-H158,IF(F158="BUY",H158-G158)))*E158</f>
        <v>-8750</v>
      </c>
      <c r="K158" s="52">
        <v>0</v>
      </c>
      <c r="L158" s="53">
        <f t="shared" ref="L158" si="418">(K158+J158)/E158</f>
        <v>-7</v>
      </c>
      <c r="M158" s="53">
        <f t="shared" ref="M158" si="419">L158*E158</f>
        <v>-8750</v>
      </c>
    </row>
    <row r="159" spans="1:13" ht="15" customHeight="1">
      <c r="A159" s="47">
        <v>0</v>
      </c>
      <c r="B159" s="48" t="s">
        <v>179</v>
      </c>
      <c r="C159" s="49" t="s">
        <v>16</v>
      </c>
      <c r="D159" s="49">
        <v>380</v>
      </c>
      <c r="E159" s="50">
        <v>2300</v>
      </c>
      <c r="F159" s="48" t="s">
        <v>15</v>
      </c>
      <c r="G159" s="51">
        <v>10.5</v>
      </c>
      <c r="H159" s="51">
        <v>14.5</v>
      </c>
      <c r="I159" s="51">
        <v>21.5</v>
      </c>
      <c r="J159" s="52">
        <f t="shared" ref="J159" si="420">(IF(F159="SELL",G159-H159,IF(F159="BUY",H159-G159)))*E159</f>
        <v>9200</v>
      </c>
      <c r="K159" s="52">
        <f>2300*7</f>
        <v>16100</v>
      </c>
      <c r="L159" s="53">
        <f t="shared" ref="L159" si="421">(K159+J159)/E159</f>
        <v>11</v>
      </c>
      <c r="M159" s="53">
        <f t="shared" ref="M159" si="422">L159*E159</f>
        <v>25300</v>
      </c>
    </row>
    <row r="160" spans="1:13" ht="15" customHeight="1">
      <c r="A160" s="47">
        <v>43930</v>
      </c>
      <c r="B160" s="48" t="s">
        <v>175</v>
      </c>
      <c r="C160" s="49" t="s">
        <v>16</v>
      </c>
      <c r="D160" s="49">
        <v>2500</v>
      </c>
      <c r="E160" s="50">
        <v>500</v>
      </c>
      <c r="F160" s="48" t="s">
        <v>15</v>
      </c>
      <c r="G160" s="51">
        <v>78</v>
      </c>
      <c r="H160" s="51">
        <v>98</v>
      </c>
      <c r="I160" s="51">
        <v>130</v>
      </c>
      <c r="J160" s="52">
        <f t="shared" ref="J160" si="423">(IF(F160="SELL",G160-H160,IF(F160="BUY",H160-G160)))*E160</f>
        <v>10000</v>
      </c>
      <c r="K160" s="52">
        <f>E160*32</f>
        <v>16000</v>
      </c>
      <c r="L160" s="53">
        <f t="shared" ref="L160" si="424">(K160+J160)/E160</f>
        <v>52</v>
      </c>
      <c r="M160" s="53">
        <f t="shared" ref="M160" si="425">L160*E160</f>
        <v>26000</v>
      </c>
    </row>
    <row r="161" spans="1:13" ht="15" customHeight="1">
      <c r="A161" s="47">
        <v>43929</v>
      </c>
      <c r="B161" s="48" t="s">
        <v>166</v>
      </c>
      <c r="C161" s="49" t="s">
        <v>16</v>
      </c>
      <c r="D161" s="49">
        <v>500</v>
      </c>
      <c r="E161" s="50">
        <v>1250</v>
      </c>
      <c r="F161" s="48" t="s">
        <v>15</v>
      </c>
      <c r="G161" s="51">
        <v>26</v>
      </c>
      <c r="H161" s="51">
        <v>35</v>
      </c>
      <c r="I161" s="51">
        <v>0</v>
      </c>
      <c r="J161" s="52">
        <f t="shared" ref="J161" si="426">(IF(F161="SELL",G161-H161,IF(F161="BUY",H161-G161)))*E161</f>
        <v>11250</v>
      </c>
      <c r="K161" s="52">
        <v>0</v>
      </c>
      <c r="L161" s="53">
        <f t="shared" ref="L161" si="427">(K161+J161)/E161</f>
        <v>9</v>
      </c>
      <c r="M161" s="53">
        <f t="shared" ref="M161" si="428">L161*E161</f>
        <v>11250</v>
      </c>
    </row>
    <row r="162" spans="1:13" ht="15" customHeight="1">
      <c r="A162" s="47">
        <v>43928</v>
      </c>
      <c r="B162" s="48" t="s">
        <v>121</v>
      </c>
      <c r="C162" s="49" t="s">
        <v>14</v>
      </c>
      <c r="D162" s="49">
        <v>2000</v>
      </c>
      <c r="E162" s="50">
        <v>250</v>
      </c>
      <c r="F162" s="48" t="s">
        <v>15</v>
      </c>
      <c r="G162" s="51">
        <v>190</v>
      </c>
      <c r="H162" s="51">
        <v>145</v>
      </c>
      <c r="I162" s="51">
        <v>0</v>
      </c>
      <c r="J162" s="52">
        <f t="shared" ref="J162" si="429">(IF(F162="SELL",G162-H162,IF(F162="BUY",H162-G162)))*E162</f>
        <v>-11250</v>
      </c>
      <c r="K162" s="52">
        <v>0</v>
      </c>
      <c r="L162" s="53">
        <f t="shared" ref="L162" si="430">(K162+J162)/E162</f>
        <v>-45</v>
      </c>
      <c r="M162" s="53">
        <f t="shared" ref="M162" si="431">L162*E162</f>
        <v>-11250</v>
      </c>
    </row>
    <row r="163" spans="1:13" ht="15" customHeight="1">
      <c r="A163" s="47">
        <v>43924</v>
      </c>
      <c r="B163" s="48" t="s">
        <v>49</v>
      </c>
      <c r="C163" s="49" t="s">
        <v>14</v>
      </c>
      <c r="D163" s="49">
        <v>200</v>
      </c>
      <c r="E163" s="50">
        <v>3000</v>
      </c>
      <c r="F163" s="48" t="s">
        <v>15</v>
      </c>
      <c r="G163" s="51">
        <v>8.3000000000000007</v>
      </c>
      <c r="H163" s="51">
        <v>6</v>
      </c>
      <c r="I163" s="51">
        <v>0</v>
      </c>
      <c r="J163" s="52">
        <f t="shared" ref="J163" si="432">(IF(F163="SELL",G163-H163,IF(F163="BUY",H163-G163)))*E163</f>
        <v>-6900.0000000000018</v>
      </c>
      <c r="K163" s="52">
        <v>0</v>
      </c>
      <c r="L163" s="53">
        <f t="shared" ref="L163" si="433">(K163+J163)/E163</f>
        <v>-2.3000000000000007</v>
      </c>
      <c r="M163" s="53">
        <f t="shared" ref="M163" si="434">L163*E163</f>
        <v>-6900.0000000000018</v>
      </c>
    </row>
    <row r="164" spans="1:13" ht="15" customHeight="1">
      <c r="A164" s="47">
        <v>43922</v>
      </c>
      <c r="B164" s="48" t="s">
        <v>149</v>
      </c>
      <c r="C164" s="49" t="s">
        <v>16</v>
      </c>
      <c r="D164" s="49">
        <v>45</v>
      </c>
      <c r="E164" s="50">
        <v>10800</v>
      </c>
      <c r="F164" s="48" t="s">
        <v>15</v>
      </c>
      <c r="G164" s="51">
        <v>2.8</v>
      </c>
      <c r="H164" s="51">
        <v>3.4</v>
      </c>
      <c r="I164" s="51">
        <v>0</v>
      </c>
      <c r="J164" s="52">
        <f t="shared" ref="J164" si="435">(IF(F164="SELL",G164-H164,IF(F164="BUY",H164-G164)))*E164</f>
        <v>6480.0000000000009</v>
      </c>
      <c r="K164" s="52">
        <v>0</v>
      </c>
      <c r="L164" s="53">
        <f t="shared" ref="L164" si="436">(K164+J164)/E164</f>
        <v>0.60000000000000009</v>
      </c>
      <c r="M164" s="53">
        <f t="shared" ref="M164" si="437">L164*E164</f>
        <v>6480.0000000000009</v>
      </c>
    </row>
    <row r="165" spans="1:13" ht="15" customHeight="1">
      <c r="A165" s="47">
        <v>43921</v>
      </c>
      <c r="B165" s="48" t="s">
        <v>176</v>
      </c>
      <c r="C165" s="49" t="s">
        <v>16</v>
      </c>
      <c r="D165" s="49">
        <v>2300</v>
      </c>
      <c r="E165" s="50">
        <v>300</v>
      </c>
      <c r="F165" s="48" t="s">
        <v>15</v>
      </c>
      <c r="G165" s="51">
        <v>135</v>
      </c>
      <c r="H165" s="51">
        <v>160</v>
      </c>
      <c r="I165" s="51">
        <v>0</v>
      </c>
      <c r="J165" s="52">
        <f t="shared" ref="J165:J166" si="438">(IF(F165="SELL",G165-H165,IF(F165="BUY",H165-G165)))*E165</f>
        <v>7500</v>
      </c>
      <c r="K165" s="52">
        <v>0</v>
      </c>
      <c r="L165" s="53">
        <f t="shared" ref="L165:L166" si="439">(K165+J165)/E165</f>
        <v>25</v>
      </c>
      <c r="M165" s="53">
        <f t="shared" ref="M165:M166" si="440">L165*E165</f>
        <v>7500</v>
      </c>
    </row>
    <row r="166" spans="1:13" ht="15" customHeight="1">
      <c r="A166" s="47">
        <v>43920</v>
      </c>
      <c r="B166" s="48" t="s">
        <v>126</v>
      </c>
      <c r="C166" s="49" t="s">
        <v>16</v>
      </c>
      <c r="D166" s="49">
        <v>2300</v>
      </c>
      <c r="E166" s="50">
        <v>500</v>
      </c>
      <c r="F166" s="48" t="s">
        <v>15</v>
      </c>
      <c r="G166" s="51">
        <v>23</v>
      </c>
      <c r="H166" s="51">
        <v>5</v>
      </c>
      <c r="I166" s="51">
        <v>0</v>
      </c>
      <c r="J166" s="52">
        <f t="shared" si="438"/>
        <v>-9000</v>
      </c>
      <c r="K166" s="52">
        <v>0</v>
      </c>
      <c r="L166" s="53">
        <f t="shared" si="439"/>
        <v>-18</v>
      </c>
      <c r="M166" s="53">
        <f t="shared" si="440"/>
        <v>-9000</v>
      </c>
    </row>
    <row r="167" spans="1:13" ht="15" customHeight="1">
      <c r="A167" s="47">
        <v>43917</v>
      </c>
      <c r="B167" s="48" t="s">
        <v>103</v>
      </c>
      <c r="C167" s="49" t="s">
        <v>16</v>
      </c>
      <c r="D167" s="49">
        <v>50</v>
      </c>
      <c r="E167" s="50">
        <v>5600</v>
      </c>
      <c r="F167" s="48" t="s">
        <v>15</v>
      </c>
      <c r="G167" s="51">
        <v>6.8</v>
      </c>
      <c r="H167" s="51">
        <v>7.55</v>
      </c>
      <c r="I167" s="51">
        <v>0</v>
      </c>
      <c r="J167" s="52">
        <f t="shared" ref="J167" si="441">(IF(F167="SELL",G167-H167,IF(F167="BUY",H167-G167)))*E167</f>
        <v>4200</v>
      </c>
      <c r="K167" s="52">
        <v>0</v>
      </c>
      <c r="L167" s="53">
        <f t="shared" ref="L167" si="442">(K167+J167)/E167</f>
        <v>0.75</v>
      </c>
      <c r="M167" s="53">
        <f t="shared" ref="M167" si="443">L167*E167</f>
        <v>4200</v>
      </c>
    </row>
    <row r="168" spans="1:13" ht="15" customHeight="1">
      <c r="A168" s="47">
        <v>43916</v>
      </c>
      <c r="B168" s="48" t="s">
        <v>151</v>
      </c>
      <c r="C168" s="49" t="s">
        <v>16</v>
      </c>
      <c r="D168" s="49">
        <v>920</v>
      </c>
      <c r="E168" s="50">
        <v>750</v>
      </c>
      <c r="F168" s="48" t="s">
        <v>15</v>
      </c>
      <c r="G168" s="51">
        <v>7.5</v>
      </c>
      <c r="H168" s="51">
        <v>12.85</v>
      </c>
      <c r="I168" s="51">
        <v>0</v>
      </c>
      <c r="J168" s="52">
        <f t="shared" ref="J168" si="444">(IF(F168="SELL",G168-H168,IF(F168="BUY",H168-G168)))*E168</f>
        <v>4012.4999999999995</v>
      </c>
      <c r="K168" s="52">
        <v>0</v>
      </c>
      <c r="L168" s="53">
        <f t="shared" ref="L168" si="445">(K168+J168)/E168</f>
        <v>5.35</v>
      </c>
      <c r="M168" s="53">
        <f t="shared" ref="M168" si="446">L168*E168</f>
        <v>4012.4999999999995</v>
      </c>
    </row>
    <row r="169" spans="1:13" ht="15" customHeight="1">
      <c r="A169" s="47">
        <v>43915</v>
      </c>
      <c r="B169" s="48" t="s">
        <v>176</v>
      </c>
      <c r="C169" s="49" t="s">
        <v>16</v>
      </c>
      <c r="D169" s="49">
        <v>2100</v>
      </c>
      <c r="E169" s="50">
        <v>600</v>
      </c>
      <c r="F169" s="48" t="s">
        <v>15</v>
      </c>
      <c r="G169" s="51">
        <v>32</v>
      </c>
      <c r="H169" s="51">
        <v>48</v>
      </c>
      <c r="I169" s="51">
        <v>0</v>
      </c>
      <c r="J169" s="52">
        <f t="shared" ref="J169" si="447">(IF(F169="SELL",G169-H169,IF(F169="BUY",H169-G169)))*E169</f>
        <v>9600</v>
      </c>
      <c r="K169" s="52">
        <v>0</v>
      </c>
      <c r="L169" s="53">
        <f t="shared" ref="L169" si="448">(K169+J169)/E169</f>
        <v>16</v>
      </c>
      <c r="M169" s="53">
        <f t="shared" ref="M169" si="449">L169*E169</f>
        <v>9600</v>
      </c>
    </row>
    <row r="170" spans="1:13" ht="15" customHeight="1">
      <c r="A170" s="47">
        <v>43914</v>
      </c>
      <c r="B170" s="48" t="s">
        <v>116</v>
      </c>
      <c r="C170" s="49" t="s">
        <v>14</v>
      </c>
      <c r="D170" s="49">
        <v>60</v>
      </c>
      <c r="E170" s="50">
        <v>3500</v>
      </c>
      <c r="F170" s="48" t="s">
        <v>15</v>
      </c>
      <c r="G170" s="51">
        <v>2.5</v>
      </c>
      <c r="H170" s="51">
        <v>4.5</v>
      </c>
      <c r="I170" s="51">
        <v>0</v>
      </c>
      <c r="J170" s="52">
        <f t="shared" ref="J170" si="450">(IF(F170="SELL",G170-H170,IF(F170="BUY",H170-G170)))*E170</f>
        <v>7000</v>
      </c>
      <c r="K170" s="52">
        <v>0</v>
      </c>
      <c r="L170" s="53">
        <f t="shared" ref="L170" si="451">(K170+J170)/E170</f>
        <v>2</v>
      </c>
      <c r="M170" s="53">
        <f t="shared" ref="M170" si="452">L170*E170</f>
        <v>7000</v>
      </c>
    </row>
    <row r="171" spans="1:13" ht="15" customHeight="1">
      <c r="A171" s="47">
        <v>43910</v>
      </c>
      <c r="B171" s="48" t="s">
        <v>68</v>
      </c>
      <c r="C171" s="49" t="s">
        <v>16</v>
      </c>
      <c r="D171" s="49">
        <v>2700</v>
      </c>
      <c r="E171" s="50">
        <v>250</v>
      </c>
      <c r="F171" s="48" t="s">
        <v>15</v>
      </c>
      <c r="G171" s="51">
        <v>135</v>
      </c>
      <c r="H171" s="51">
        <v>170</v>
      </c>
      <c r="I171" s="51">
        <v>210</v>
      </c>
      <c r="J171" s="52">
        <f t="shared" ref="J171" si="453">(IF(F171="SELL",G171-H171,IF(F171="BUY",H171-G171)))*E171</f>
        <v>8750</v>
      </c>
      <c r="K171" s="52">
        <f>E171*40</f>
        <v>10000</v>
      </c>
      <c r="L171" s="53">
        <f t="shared" ref="L171" si="454">(K171+J171)/E171</f>
        <v>75</v>
      </c>
      <c r="M171" s="53">
        <f t="shared" ref="M171" si="455">L171*E171</f>
        <v>18750</v>
      </c>
    </row>
    <row r="172" spans="1:13" ht="15" customHeight="1">
      <c r="A172" s="47">
        <v>43909</v>
      </c>
      <c r="B172" s="48" t="s">
        <v>118</v>
      </c>
      <c r="C172" s="49" t="s">
        <v>16</v>
      </c>
      <c r="D172" s="49">
        <v>240</v>
      </c>
      <c r="E172" s="50">
        <v>1500</v>
      </c>
      <c r="F172" s="48" t="s">
        <v>15</v>
      </c>
      <c r="G172" s="51">
        <v>4.2</v>
      </c>
      <c r="H172" s="51">
        <v>5.25</v>
      </c>
      <c r="I172" s="51">
        <v>0</v>
      </c>
      <c r="J172" s="52">
        <f t="shared" ref="J172" si="456">(IF(F172="SELL",G172-H172,IF(F172="BUY",H172-G172)))*E172</f>
        <v>1574.9999999999998</v>
      </c>
      <c r="K172" s="52">
        <v>0</v>
      </c>
      <c r="L172" s="53">
        <f t="shared" ref="L172" si="457">(K172+J172)/E172</f>
        <v>1.0499999999999998</v>
      </c>
      <c r="M172" s="53">
        <f t="shared" ref="M172" si="458">L172*E172</f>
        <v>1574.9999999999998</v>
      </c>
    </row>
    <row r="173" spans="1:13" ht="15" customHeight="1">
      <c r="A173" s="47">
        <v>43908</v>
      </c>
      <c r="B173" s="48" t="s">
        <v>73</v>
      </c>
      <c r="C173" s="49" t="s">
        <v>14</v>
      </c>
      <c r="D173" s="49">
        <v>170</v>
      </c>
      <c r="E173" s="50">
        <v>2300</v>
      </c>
      <c r="F173" s="48" t="s">
        <v>15</v>
      </c>
      <c r="G173" s="51">
        <v>13</v>
      </c>
      <c r="H173" s="51">
        <v>16</v>
      </c>
      <c r="I173" s="51">
        <v>20</v>
      </c>
      <c r="J173" s="52">
        <f t="shared" ref="J173" si="459">(IF(F173="SELL",G173-H173,IF(F173="BUY",H173-G173)))*E173</f>
        <v>6900</v>
      </c>
      <c r="K173" s="52">
        <f>E173*4</f>
        <v>9200</v>
      </c>
      <c r="L173" s="53">
        <f t="shared" ref="L173" si="460">(K173+J173)/E173</f>
        <v>7</v>
      </c>
      <c r="M173" s="53">
        <f t="shared" ref="M173" si="461">L173*E173</f>
        <v>16100</v>
      </c>
    </row>
    <row r="174" spans="1:13" ht="15" customHeight="1">
      <c r="A174" s="47">
        <v>43907</v>
      </c>
      <c r="B174" s="48" t="s">
        <v>53</v>
      </c>
      <c r="C174" s="49" t="s">
        <v>14</v>
      </c>
      <c r="D174" s="49">
        <v>120</v>
      </c>
      <c r="E174" s="50">
        <v>1700</v>
      </c>
      <c r="F174" s="48" t="s">
        <v>15</v>
      </c>
      <c r="G174" s="51">
        <v>14</v>
      </c>
      <c r="H174" s="51">
        <v>20</v>
      </c>
      <c r="I174" s="51">
        <v>0</v>
      </c>
      <c r="J174" s="52">
        <f t="shared" ref="J174" si="462">(IF(F174="SELL",G174-H174,IF(F174="BUY",H174-G174)))*E174</f>
        <v>10200</v>
      </c>
      <c r="K174" s="52">
        <v>0</v>
      </c>
      <c r="L174" s="53">
        <f t="shared" ref="L174" si="463">(K174+J174)/E174</f>
        <v>6</v>
      </c>
      <c r="M174" s="53">
        <f t="shared" ref="M174" si="464">L174*E174</f>
        <v>10200</v>
      </c>
    </row>
    <row r="175" spans="1:13" ht="15" customHeight="1">
      <c r="A175" s="47">
        <v>43906</v>
      </c>
      <c r="B175" s="48" t="s">
        <v>145</v>
      </c>
      <c r="C175" s="49" t="s">
        <v>16</v>
      </c>
      <c r="D175" s="49">
        <v>210</v>
      </c>
      <c r="E175" s="50">
        <v>2100</v>
      </c>
      <c r="F175" s="48" t="s">
        <v>15</v>
      </c>
      <c r="G175" s="51">
        <v>13</v>
      </c>
      <c r="H175" s="51">
        <v>18</v>
      </c>
      <c r="I175" s="51">
        <v>0</v>
      </c>
      <c r="J175" s="52">
        <f t="shared" ref="J175" si="465">(IF(F175="SELL",G175-H175,IF(F175="BUY",H175-G175)))*E175</f>
        <v>10500</v>
      </c>
      <c r="K175" s="52">
        <v>0</v>
      </c>
      <c r="L175" s="53">
        <f t="shared" ref="L175" si="466">(K175+J175)/E175</f>
        <v>5</v>
      </c>
      <c r="M175" s="53">
        <f t="shared" ref="M175" si="467">L175*E175</f>
        <v>10500</v>
      </c>
    </row>
    <row r="176" spans="1:13" ht="15" customHeight="1">
      <c r="A176" s="47">
        <v>43903</v>
      </c>
      <c r="B176" s="48" t="s">
        <v>138</v>
      </c>
      <c r="C176" s="49" t="s">
        <v>16</v>
      </c>
      <c r="D176" s="49">
        <v>1160</v>
      </c>
      <c r="E176" s="50">
        <v>500</v>
      </c>
      <c r="F176" s="48" t="s">
        <v>15</v>
      </c>
      <c r="G176" s="51">
        <v>42</v>
      </c>
      <c r="H176" s="51">
        <v>42</v>
      </c>
      <c r="I176" s="51">
        <v>0</v>
      </c>
      <c r="J176" s="52">
        <f t="shared" ref="J176" si="468">(IF(F176="SELL",G176-H176,IF(F176="BUY",H176-G176)))*E176</f>
        <v>0</v>
      </c>
      <c r="K176" s="52">
        <v>0</v>
      </c>
      <c r="L176" s="53">
        <f t="shared" ref="L176" si="469">(K176+J176)/E176</f>
        <v>0</v>
      </c>
      <c r="M176" s="53">
        <f t="shared" ref="M176" si="470">L176*E176</f>
        <v>0</v>
      </c>
    </row>
    <row r="177" spans="1:13" ht="15" customHeight="1">
      <c r="A177" s="47">
        <v>43903</v>
      </c>
      <c r="B177" s="48" t="s">
        <v>140</v>
      </c>
      <c r="C177" s="49" t="s">
        <v>16</v>
      </c>
      <c r="D177" s="49">
        <v>250</v>
      </c>
      <c r="E177" s="50">
        <v>2000</v>
      </c>
      <c r="F177" s="48" t="s">
        <v>15</v>
      </c>
      <c r="G177" s="51">
        <v>15</v>
      </c>
      <c r="H177" s="51">
        <v>12.5</v>
      </c>
      <c r="I177" s="51">
        <v>0</v>
      </c>
      <c r="J177" s="52">
        <f t="shared" ref="J177" si="471">(IF(F177="SELL",G177-H177,IF(F177="BUY",H177-G177)))*E177</f>
        <v>-5000</v>
      </c>
      <c r="K177" s="52">
        <v>0</v>
      </c>
      <c r="L177" s="53">
        <f t="shared" ref="L177" si="472">(K177+J177)/E177</f>
        <v>-2.5</v>
      </c>
      <c r="M177" s="53">
        <f t="shared" ref="M177" si="473">L177*E177</f>
        <v>-5000</v>
      </c>
    </row>
    <row r="178" spans="1:13" ht="15" customHeight="1">
      <c r="A178" s="47">
        <v>43902</v>
      </c>
      <c r="B178" s="48" t="s">
        <v>128</v>
      </c>
      <c r="C178" s="49" t="s">
        <v>14</v>
      </c>
      <c r="D178" s="49">
        <v>140</v>
      </c>
      <c r="E178" s="50">
        <v>5400</v>
      </c>
      <c r="F178" s="48" t="s">
        <v>15</v>
      </c>
      <c r="G178" s="51">
        <v>3.7</v>
      </c>
      <c r="H178" s="51">
        <v>5</v>
      </c>
      <c r="I178" s="51">
        <v>6</v>
      </c>
      <c r="J178" s="52">
        <f t="shared" ref="J178" si="474">(IF(F178="SELL",G178-H178,IF(F178="BUY",H178-G178)))*E178</f>
        <v>7019.9999999999991</v>
      </c>
      <c r="K178" s="52">
        <f>E178*1</f>
        <v>5400</v>
      </c>
      <c r="L178" s="53">
        <f t="shared" ref="L178" si="475">(K178+J178)/E178</f>
        <v>2.2999999999999998</v>
      </c>
      <c r="M178" s="53">
        <f t="shared" ref="M178" si="476">L178*E178</f>
        <v>12419.999999999998</v>
      </c>
    </row>
    <row r="179" spans="1:13" ht="15" customHeight="1">
      <c r="A179" s="47">
        <v>43901</v>
      </c>
      <c r="B179" s="48" t="s">
        <v>109</v>
      </c>
      <c r="C179" s="49" t="s">
        <v>14</v>
      </c>
      <c r="D179" s="49">
        <v>80</v>
      </c>
      <c r="E179" s="50">
        <v>5000</v>
      </c>
      <c r="F179" s="48" t="s">
        <v>15</v>
      </c>
      <c r="G179" s="51">
        <v>3.7</v>
      </c>
      <c r="H179" s="51">
        <v>5.3</v>
      </c>
      <c r="I179" s="51">
        <v>7</v>
      </c>
      <c r="J179" s="52">
        <f t="shared" ref="J179" si="477">(IF(F179="SELL",G179-H179,IF(F179="BUY",H179-G179)))*E179</f>
        <v>7999.9999999999982</v>
      </c>
      <c r="K179" s="52">
        <f>E179*1.7</f>
        <v>8500</v>
      </c>
      <c r="L179" s="53">
        <f t="shared" ref="L179" si="478">(K179+J179)/E179</f>
        <v>3.3</v>
      </c>
      <c r="M179" s="53">
        <f t="shared" ref="M179" si="479">L179*E179</f>
        <v>16500</v>
      </c>
    </row>
    <row r="180" spans="1:13" ht="15" customHeight="1">
      <c r="A180" s="47">
        <v>43899</v>
      </c>
      <c r="B180" s="48" t="s">
        <v>46</v>
      </c>
      <c r="C180" s="49" t="s">
        <v>14</v>
      </c>
      <c r="D180" s="49">
        <v>400</v>
      </c>
      <c r="E180" s="50">
        <v>1200</v>
      </c>
      <c r="F180" s="48" t="s">
        <v>15</v>
      </c>
      <c r="G180" s="51">
        <v>25</v>
      </c>
      <c r="H180" s="51">
        <v>29.55</v>
      </c>
      <c r="I180" s="51">
        <v>8.1999999999999993</v>
      </c>
      <c r="J180" s="52">
        <f t="shared" ref="J180" si="480">(IF(F180="SELL",G180-H180,IF(F180="BUY",H180-G180)))*E180</f>
        <v>5460.0000000000009</v>
      </c>
      <c r="K180" s="52">
        <v>0</v>
      </c>
      <c r="L180" s="53">
        <f t="shared" ref="L180" si="481">(K180+J180)/E180</f>
        <v>4.5500000000000007</v>
      </c>
      <c r="M180" s="53">
        <f t="shared" ref="M180" si="482">L180*E180</f>
        <v>5460.0000000000009</v>
      </c>
    </row>
    <row r="181" spans="1:13" ht="15" customHeight="1">
      <c r="A181" s="47">
        <v>43896</v>
      </c>
      <c r="B181" s="48" t="s">
        <v>178</v>
      </c>
      <c r="C181" s="49" t="s">
        <v>16</v>
      </c>
      <c r="D181" s="49">
        <v>2260</v>
      </c>
      <c r="E181" s="50">
        <v>400</v>
      </c>
      <c r="F181" s="48" t="s">
        <v>15</v>
      </c>
      <c r="G181" s="51">
        <v>65</v>
      </c>
      <c r="H181" s="51">
        <v>75</v>
      </c>
      <c r="I181" s="51">
        <v>8.1999999999999993</v>
      </c>
      <c r="J181" s="52">
        <f t="shared" ref="J181" si="483">(IF(F181="SELL",G181-H181,IF(F181="BUY",H181-G181)))*E181</f>
        <v>4000</v>
      </c>
      <c r="K181" s="52">
        <v>0</v>
      </c>
      <c r="L181" s="53">
        <f t="shared" ref="L181" si="484">(K181+J181)/E181</f>
        <v>10</v>
      </c>
      <c r="M181" s="53">
        <f t="shared" ref="M181" si="485">L181*E181</f>
        <v>4000</v>
      </c>
    </row>
    <row r="182" spans="1:13" ht="15" customHeight="1">
      <c r="A182" s="47">
        <v>43895</v>
      </c>
      <c r="B182" s="48" t="s">
        <v>178</v>
      </c>
      <c r="C182" s="49" t="s">
        <v>16</v>
      </c>
      <c r="D182" s="49">
        <v>2260</v>
      </c>
      <c r="E182" s="50">
        <v>400</v>
      </c>
      <c r="F182" s="48" t="s">
        <v>15</v>
      </c>
      <c r="G182" s="51">
        <v>58</v>
      </c>
      <c r="H182" s="51">
        <v>75</v>
      </c>
      <c r="I182" s="51">
        <v>8.1999999999999993</v>
      </c>
      <c r="J182" s="52">
        <f t="shared" ref="J182:J183" si="486">(IF(F182="SELL",G182-H182,IF(F182="BUY",H182-G182)))*E182</f>
        <v>6800</v>
      </c>
      <c r="K182" s="52">
        <v>0</v>
      </c>
      <c r="L182" s="53">
        <f t="shared" ref="L182:L183" si="487">(K182+J182)/E182</f>
        <v>17</v>
      </c>
      <c r="M182" s="53">
        <f t="shared" ref="M182:M183" si="488">L182*E182</f>
        <v>6800</v>
      </c>
    </row>
    <row r="183" spans="1:13" ht="15" customHeight="1">
      <c r="A183" s="47">
        <v>43894</v>
      </c>
      <c r="B183" s="48" t="s">
        <v>152</v>
      </c>
      <c r="C183" s="49" t="s">
        <v>16</v>
      </c>
      <c r="D183" s="49">
        <v>940</v>
      </c>
      <c r="E183" s="50">
        <v>1500</v>
      </c>
      <c r="F183" s="48" t="s">
        <v>15</v>
      </c>
      <c r="G183" s="51">
        <v>14</v>
      </c>
      <c r="H183" s="51">
        <v>17.25</v>
      </c>
      <c r="I183" s="51">
        <v>8.1999999999999993</v>
      </c>
      <c r="J183" s="52">
        <f t="shared" si="486"/>
        <v>4875</v>
      </c>
      <c r="K183" s="52">
        <v>0</v>
      </c>
      <c r="L183" s="53">
        <f t="shared" si="487"/>
        <v>3.25</v>
      </c>
      <c r="M183" s="53">
        <f t="shared" si="488"/>
        <v>4875</v>
      </c>
    </row>
    <row r="184" spans="1:13" ht="15" customHeight="1">
      <c r="A184" s="47">
        <v>43893</v>
      </c>
      <c r="B184" s="48" t="s">
        <v>177</v>
      </c>
      <c r="C184" s="49" t="s">
        <v>16</v>
      </c>
      <c r="D184" s="49">
        <v>1300</v>
      </c>
      <c r="E184" s="50">
        <v>600</v>
      </c>
      <c r="F184" s="48" t="s">
        <v>15</v>
      </c>
      <c r="G184" s="51">
        <v>40</v>
      </c>
      <c r="H184" s="51">
        <v>29</v>
      </c>
      <c r="I184" s="51">
        <v>8.1999999999999993</v>
      </c>
      <c r="J184" s="52">
        <f t="shared" ref="J184" si="489">(IF(F184="SELL",G184-H184,IF(F184="BUY",H184-G184)))*E184</f>
        <v>-6600</v>
      </c>
      <c r="K184" s="52">
        <v>0</v>
      </c>
      <c r="L184" s="53">
        <f t="shared" ref="L184" si="490">(K184+J184)/E184</f>
        <v>-11</v>
      </c>
      <c r="M184" s="53">
        <f t="shared" ref="M184" si="491">L184*E184</f>
        <v>-6600</v>
      </c>
    </row>
    <row r="185" spans="1:13" ht="15" customHeight="1">
      <c r="A185" s="47">
        <v>43889</v>
      </c>
      <c r="B185" s="48" t="s">
        <v>149</v>
      </c>
      <c r="C185" s="49" t="s">
        <v>14</v>
      </c>
      <c r="D185" s="49">
        <v>80</v>
      </c>
      <c r="E185" s="50">
        <v>5400</v>
      </c>
      <c r="F185" s="48" t="s">
        <v>15</v>
      </c>
      <c r="G185" s="51">
        <v>4.5</v>
      </c>
      <c r="H185" s="51">
        <v>6.2</v>
      </c>
      <c r="I185" s="51">
        <v>8.1999999999999993</v>
      </c>
      <c r="J185" s="52">
        <f t="shared" ref="J185" si="492">(IF(F185="SELL",G185-H185,IF(F185="BUY",H185-G185)))*E185</f>
        <v>9180.0000000000018</v>
      </c>
      <c r="K185" s="52">
        <f>E185*2</f>
        <v>10800</v>
      </c>
      <c r="L185" s="53">
        <f t="shared" ref="L185" si="493">(K185+J185)/E185</f>
        <v>3.7</v>
      </c>
      <c r="M185" s="53">
        <f t="shared" ref="M185" si="494">L185*E185</f>
        <v>19980</v>
      </c>
    </row>
    <row r="186" spans="1:13" ht="15" customHeight="1">
      <c r="A186" s="47">
        <v>43886</v>
      </c>
      <c r="B186" s="48" t="s">
        <v>100</v>
      </c>
      <c r="C186" s="49" t="s">
        <v>14</v>
      </c>
      <c r="D186" s="49">
        <v>210</v>
      </c>
      <c r="E186" s="50">
        <v>4800</v>
      </c>
      <c r="F186" s="48" t="s">
        <v>15</v>
      </c>
      <c r="G186" s="51">
        <v>8</v>
      </c>
      <c r="H186" s="51">
        <v>10</v>
      </c>
      <c r="I186" s="51">
        <v>13</v>
      </c>
      <c r="J186" s="52">
        <f t="shared" ref="J186" si="495">(IF(F186="SELL",G186-H186,IF(F186="BUY",H186-G186)))*E186</f>
        <v>9600</v>
      </c>
      <c r="K186" s="52">
        <f>E186*3</f>
        <v>14400</v>
      </c>
      <c r="L186" s="53">
        <f t="shared" ref="L186" si="496">(K186+J186)/E186</f>
        <v>5</v>
      </c>
      <c r="M186" s="53">
        <f t="shared" ref="M186" si="497">L186*E186</f>
        <v>24000</v>
      </c>
    </row>
    <row r="187" spans="1:13" ht="15" customHeight="1">
      <c r="A187" s="47">
        <v>43885</v>
      </c>
      <c r="B187" s="48" t="s">
        <v>154</v>
      </c>
      <c r="C187" s="49" t="s">
        <v>16</v>
      </c>
      <c r="D187" s="49">
        <v>182.5</v>
      </c>
      <c r="E187" s="50">
        <v>6000</v>
      </c>
      <c r="F187" s="48" t="s">
        <v>15</v>
      </c>
      <c r="G187" s="51">
        <v>2.6</v>
      </c>
      <c r="H187" s="51">
        <v>1.2</v>
      </c>
      <c r="I187" s="51">
        <v>0</v>
      </c>
      <c r="J187" s="52">
        <f t="shared" ref="J187" si="498">(IF(F187="SELL",G187-H187,IF(F187="BUY",H187-G187)))*E187</f>
        <v>-8400</v>
      </c>
      <c r="K187" s="52">
        <v>0</v>
      </c>
      <c r="L187" s="53">
        <f t="shared" ref="L187" si="499">(K187+J187)/E187</f>
        <v>-1.4</v>
      </c>
      <c r="M187" s="53">
        <f t="shared" ref="M187" si="500">L187*E187</f>
        <v>-8400</v>
      </c>
    </row>
    <row r="188" spans="1:13" ht="15" customHeight="1">
      <c r="A188" s="47">
        <v>43881</v>
      </c>
      <c r="B188" s="48" t="s">
        <v>152</v>
      </c>
      <c r="C188" s="49" t="s">
        <v>16</v>
      </c>
      <c r="D188" s="49">
        <v>940</v>
      </c>
      <c r="E188" s="50">
        <v>1500</v>
      </c>
      <c r="F188" s="48" t="s">
        <v>15</v>
      </c>
      <c r="G188" s="51">
        <v>7</v>
      </c>
      <c r="H188" s="51">
        <v>11</v>
      </c>
      <c r="I188" s="51">
        <v>16</v>
      </c>
      <c r="J188" s="52">
        <f t="shared" ref="J188" si="501">(IF(F188="SELL",G188-H188,IF(F188="BUY",H188-G188)))*E188</f>
        <v>6000</v>
      </c>
      <c r="K188" s="52">
        <f>E188*5</f>
        <v>7500</v>
      </c>
      <c r="L188" s="53">
        <f t="shared" ref="L188" si="502">(K188+J188)/E188</f>
        <v>9</v>
      </c>
      <c r="M188" s="53">
        <f t="shared" ref="M188" si="503">L188*E188</f>
        <v>13500</v>
      </c>
    </row>
    <row r="189" spans="1:13" ht="15" customHeight="1">
      <c r="A189" s="47">
        <v>43880</v>
      </c>
      <c r="B189" s="48" t="s">
        <v>143</v>
      </c>
      <c r="C189" s="49" t="s">
        <v>16</v>
      </c>
      <c r="D189" s="49">
        <v>109</v>
      </c>
      <c r="E189" s="50">
        <v>1000</v>
      </c>
      <c r="F189" s="48" t="s">
        <v>15</v>
      </c>
      <c r="G189" s="51">
        <v>25</v>
      </c>
      <c r="H189" s="51">
        <v>33</v>
      </c>
      <c r="I189" s="51">
        <v>36</v>
      </c>
      <c r="J189" s="52">
        <f t="shared" ref="J189" si="504">(IF(F189="SELL",G189-H189,IF(F189="BUY",H189-G189)))*E189</f>
        <v>8000</v>
      </c>
      <c r="K189" s="52">
        <v>3000</v>
      </c>
      <c r="L189" s="53">
        <f t="shared" ref="L189" si="505">(K189+J189)/E189</f>
        <v>11</v>
      </c>
      <c r="M189" s="53">
        <f t="shared" ref="M189" si="506">L189*E189</f>
        <v>11000</v>
      </c>
    </row>
    <row r="190" spans="1:13" ht="15" customHeight="1">
      <c r="A190" s="47">
        <v>43879</v>
      </c>
      <c r="B190" s="48" t="s">
        <v>161</v>
      </c>
      <c r="C190" s="49" t="s">
        <v>14</v>
      </c>
      <c r="D190" s="49">
        <v>109</v>
      </c>
      <c r="E190" s="50">
        <v>9600</v>
      </c>
      <c r="F190" s="48" t="s">
        <v>15</v>
      </c>
      <c r="G190" s="51">
        <v>2.5</v>
      </c>
      <c r="H190" s="51">
        <v>3.5</v>
      </c>
      <c r="I190" s="51">
        <v>4.5</v>
      </c>
      <c r="J190" s="52">
        <f t="shared" ref="J190" si="507">(IF(F190="SELL",G190-H190,IF(F190="BUY",H190-G190)))*E190</f>
        <v>9600</v>
      </c>
      <c r="K190" s="52">
        <v>9600</v>
      </c>
      <c r="L190" s="53">
        <f t="shared" ref="L190" si="508">(K190+J190)/E190</f>
        <v>2</v>
      </c>
      <c r="M190" s="53">
        <f t="shared" ref="M190" si="509">L190*E190</f>
        <v>19200</v>
      </c>
    </row>
    <row r="191" spans="1:13" ht="15" customHeight="1">
      <c r="A191" s="47">
        <v>43878</v>
      </c>
      <c r="B191" s="48" t="s">
        <v>170</v>
      </c>
      <c r="C191" s="49" t="s">
        <v>16</v>
      </c>
      <c r="D191" s="49">
        <v>390</v>
      </c>
      <c r="E191" s="50">
        <v>1700</v>
      </c>
      <c r="F191" s="48" t="s">
        <v>15</v>
      </c>
      <c r="G191" s="51">
        <v>12</v>
      </c>
      <c r="H191" s="51">
        <v>7</v>
      </c>
      <c r="I191" s="51">
        <v>0</v>
      </c>
      <c r="J191" s="52">
        <f t="shared" ref="J191" si="510">(IF(F191="SELL",G191-H191,IF(F191="BUY",H191-G191)))*E191</f>
        <v>-8500</v>
      </c>
      <c r="K191" s="52">
        <v>0</v>
      </c>
      <c r="L191" s="53">
        <f t="shared" ref="L191" si="511">(K191+J191)/E191</f>
        <v>-5</v>
      </c>
      <c r="M191" s="53">
        <f t="shared" ref="M191" si="512">L191*E191</f>
        <v>-8500</v>
      </c>
    </row>
    <row r="192" spans="1:13" ht="15" customHeight="1">
      <c r="A192" s="47">
        <v>43875</v>
      </c>
      <c r="B192" s="48" t="s">
        <v>130</v>
      </c>
      <c r="C192" s="49" t="s">
        <v>16</v>
      </c>
      <c r="D192" s="49">
        <v>570</v>
      </c>
      <c r="E192" s="50">
        <v>1851</v>
      </c>
      <c r="F192" s="48" t="s">
        <v>15</v>
      </c>
      <c r="G192" s="51">
        <v>10</v>
      </c>
      <c r="H192" s="51">
        <v>14.3</v>
      </c>
      <c r="I192" s="51">
        <v>0</v>
      </c>
      <c r="J192" s="52">
        <f t="shared" ref="J192:J193" si="513">(IF(F192="SELL",G192-H192,IF(F192="BUY",H192-G192)))*E192</f>
        <v>7959.3000000000011</v>
      </c>
      <c r="K192" s="52">
        <v>0</v>
      </c>
      <c r="L192" s="53">
        <f t="shared" ref="L192:L193" si="514">(K192+J192)/E192</f>
        <v>4.3000000000000007</v>
      </c>
      <c r="M192" s="53">
        <f t="shared" ref="M192:M193" si="515">L192*E192</f>
        <v>7959.3000000000011</v>
      </c>
    </row>
    <row r="193" spans="1:13" ht="15" customHeight="1">
      <c r="A193" s="47">
        <v>43874</v>
      </c>
      <c r="B193" s="48" t="s">
        <v>68</v>
      </c>
      <c r="C193" s="49" t="s">
        <v>16</v>
      </c>
      <c r="D193" s="49">
        <v>3250</v>
      </c>
      <c r="E193" s="50">
        <v>500</v>
      </c>
      <c r="F193" s="48" t="s">
        <v>15</v>
      </c>
      <c r="G193" s="51">
        <v>69</v>
      </c>
      <c r="H193" s="51">
        <v>85</v>
      </c>
      <c r="I193" s="51">
        <v>100</v>
      </c>
      <c r="J193" s="52">
        <f t="shared" si="513"/>
        <v>8000</v>
      </c>
      <c r="K193" s="52">
        <f>E193*15</f>
        <v>7500</v>
      </c>
      <c r="L193" s="53">
        <f t="shared" si="514"/>
        <v>31</v>
      </c>
      <c r="M193" s="53">
        <f t="shared" si="515"/>
        <v>15500</v>
      </c>
    </row>
    <row r="194" spans="1:13" ht="15" customHeight="1">
      <c r="A194" s="47">
        <v>43872</v>
      </c>
      <c r="B194" s="48" t="s">
        <v>130</v>
      </c>
      <c r="C194" s="49" t="s">
        <v>16</v>
      </c>
      <c r="D194" s="49">
        <v>550</v>
      </c>
      <c r="E194" s="50">
        <v>3702</v>
      </c>
      <c r="F194" s="48" t="s">
        <v>15</v>
      </c>
      <c r="G194" s="51">
        <v>11.5</v>
      </c>
      <c r="H194" s="51">
        <v>8.8000000000000007</v>
      </c>
      <c r="I194" s="51">
        <v>0</v>
      </c>
      <c r="J194" s="52">
        <f t="shared" ref="J194:J195" si="516">(IF(F194="SELL",G194-H194,IF(F194="BUY",H194-G194)))*E194</f>
        <v>-9995.3999999999978</v>
      </c>
      <c r="K194" s="52">
        <v>0</v>
      </c>
      <c r="L194" s="53">
        <f t="shared" ref="L194:L195" si="517">(K194+J194)/E194</f>
        <v>-2.6999999999999993</v>
      </c>
      <c r="M194" s="53">
        <f t="shared" ref="M194:M195" si="518">L194*E194</f>
        <v>-9995.3999999999978</v>
      </c>
    </row>
    <row r="195" spans="1:13" ht="15" customHeight="1">
      <c r="A195" s="47">
        <v>43871</v>
      </c>
      <c r="B195" s="48" t="s">
        <v>169</v>
      </c>
      <c r="C195" s="49" t="s">
        <v>16</v>
      </c>
      <c r="D195" s="49">
        <v>1700</v>
      </c>
      <c r="E195" s="50">
        <v>500</v>
      </c>
      <c r="F195" s="48" t="s">
        <v>15</v>
      </c>
      <c r="G195" s="51">
        <v>50</v>
      </c>
      <c r="H195" s="51">
        <v>70</v>
      </c>
      <c r="I195" s="51">
        <v>0</v>
      </c>
      <c r="J195" s="52">
        <f t="shared" si="516"/>
        <v>10000</v>
      </c>
      <c r="K195" s="52">
        <v>0</v>
      </c>
      <c r="L195" s="53">
        <f t="shared" si="517"/>
        <v>20</v>
      </c>
      <c r="M195" s="53">
        <f t="shared" si="518"/>
        <v>10000</v>
      </c>
    </row>
    <row r="196" spans="1:13" ht="15" customHeight="1">
      <c r="A196" s="47">
        <v>43868</v>
      </c>
      <c r="B196" s="48" t="s">
        <v>70</v>
      </c>
      <c r="C196" s="49" t="s">
        <v>16</v>
      </c>
      <c r="D196" s="49">
        <v>620</v>
      </c>
      <c r="E196" s="50">
        <v>600</v>
      </c>
      <c r="F196" s="48" t="s">
        <v>15</v>
      </c>
      <c r="G196" s="51">
        <v>27</v>
      </c>
      <c r="H196" s="51">
        <v>19</v>
      </c>
      <c r="I196" s="51">
        <v>0</v>
      </c>
      <c r="J196" s="52">
        <f t="shared" ref="J196" si="519">(IF(F196="SELL",G196-H196,IF(F196="BUY",H196-G196)))*E196</f>
        <v>-4800</v>
      </c>
      <c r="K196" s="52">
        <v>0</v>
      </c>
      <c r="L196" s="53">
        <f t="shared" ref="L196" si="520">(K196+J196)/E196</f>
        <v>-8</v>
      </c>
      <c r="M196" s="53">
        <f t="shared" ref="M196" si="521">L196*E196</f>
        <v>-4800</v>
      </c>
    </row>
    <row r="197" spans="1:13" ht="15" customHeight="1">
      <c r="A197" s="47">
        <v>43867</v>
      </c>
      <c r="B197" s="48" t="s">
        <v>25</v>
      </c>
      <c r="C197" s="49" t="s">
        <v>16</v>
      </c>
      <c r="D197" s="49">
        <v>2460</v>
      </c>
      <c r="E197" s="50">
        <v>500</v>
      </c>
      <c r="F197" s="48" t="s">
        <v>15</v>
      </c>
      <c r="G197" s="51">
        <v>40</v>
      </c>
      <c r="H197" s="51">
        <v>45</v>
      </c>
      <c r="I197" s="51">
        <v>0</v>
      </c>
      <c r="J197" s="52">
        <f t="shared" ref="J197" si="522">(IF(F197="SELL",G197-H197,IF(F197="BUY",H197-G197)))*E197</f>
        <v>2500</v>
      </c>
      <c r="K197" s="52">
        <v>0</v>
      </c>
      <c r="L197" s="53">
        <f t="shared" ref="L197" si="523">(K197+J197)/E197</f>
        <v>5</v>
      </c>
      <c r="M197" s="53">
        <f t="shared" ref="M197" si="524">L197*E197</f>
        <v>2500</v>
      </c>
    </row>
    <row r="198" spans="1:13" ht="15" customHeight="1">
      <c r="A198" s="47">
        <v>43866</v>
      </c>
      <c r="B198" s="48" t="s">
        <v>168</v>
      </c>
      <c r="C198" s="49" t="s">
        <v>16</v>
      </c>
      <c r="D198" s="49">
        <v>340</v>
      </c>
      <c r="E198" s="50">
        <v>2500</v>
      </c>
      <c r="F198" s="48" t="s">
        <v>15</v>
      </c>
      <c r="G198" s="51">
        <v>13.5</v>
      </c>
      <c r="H198" s="51">
        <v>16.5</v>
      </c>
      <c r="I198" s="51">
        <v>0</v>
      </c>
      <c r="J198" s="52">
        <f t="shared" ref="J198" si="525">(IF(F198="SELL",G198-H198,IF(F198="BUY",H198-G198)))*E198</f>
        <v>7500</v>
      </c>
      <c r="K198" s="52">
        <v>0</v>
      </c>
      <c r="L198" s="53">
        <f t="shared" ref="L198" si="526">(K198+J198)/E198</f>
        <v>3</v>
      </c>
      <c r="M198" s="53">
        <f t="shared" ref="M198" si="527">L198*E198</f>
        <v>7500</v>
      </c>
    </row>
    <row r="199" spans="1:13" ht="15" customHeight="1">
      <c r="A199" s="47">
        <v>43865</v>
      </c>
      <c r="B199" s="48" t="s">
        <v>167</v>
      </c>
      <c r="C199" s="49" t="s">
        <v>16</v>
      </c>
      <c r="D199" s="49">
        <v>4600</v>
      </c>
      <c r="E199" s="50">
        <v>500</v>
      </c>
      <c r="F199" s="48" t="s">
        <v>15</v>
      </c>
      <c r="G199" s="51">
        <v>59</v>
      </c>
      <c r="H199" s="51">
        <v>73</v>
      </c>
      <c r="I199" s="51">
        <v>0</v>
      </c>
      <c r="J199" s="52">
        <f t="shared" ref="J199" si="528">(IF(F199="SELL",G199-H199,IF(F199="BUY",H199-G199)))*E199</f>
        <v>7000</v>
      </c>
      <c r="K199" s="52">
        <v>0</v>
      </c>
      <c r="L199" s="53">
        <f t="shared" ref="L199" si="529">(K199+J199)/E199</f>
        <v>14</v>
      </c>
      <c r="M199" s="53">
        <f t="shared" ref="M199" si="530">L199*E199</f>
        <v>7000</v>
      </c>
    </row>
    <row r="200" spans="1:13" ht="15" customHeight="1">
      <c r="A200" s="47">
        <v>43864</v>
      </c>
      <c r="B200" s="48" t="s">
        <v>168</v>
      </c>
      <c r="C200" s="49" t="s">
        <v>16</v>
      </c>
      <c r="D200" s="49">
        <v>340</v>
      </c>
      <c r="E200" s="50">
        <v>5000</v>
      </c>
      <c r="F200" s="48" t="s">
        <v>15</v>
      </c>
      <c r="G200" s="51">
        <v>8</v>
      </c>
      <c r="H200" s="51">
        <v>10</v>
      </c>
      <c r="I200" s="51">
        <v>0</v>
      </c>
      <c r="J200" s="52">
        <f t="shared" ref="J200" si="531">(IF(F200="SELL",G200-H200,IF(F200="BUY",H200-G200)))*E200</f>
        <v>10000</v>
      </c>
      <c r="K200" s="52">
        <v>0</v>
      </c>
      <c r="L200" s="53">
        <f t="shared" ref="L200" si="532">(K200+J200)/E200</f>
        <v>2</v>
      </c>
      <c r="M200" s="53">
        <f t="shared" ref="M200" si="533">L200*E200</f>
        <v>10000</v>
      </c>
    </row>
    <row r="201" spans="1:13" ht="15" customHeight="1">
      <c r="A201" s="47">
        <v>43863</v>
      </c>
      <c r="B201" s="48" t="s">
        <v>128</v>
      </c>
      <c r="C201" s="49" t="s">
        <v>16</v>
      </c>
      <c r="D201" s="49">
        <v>175</v>
      </c>
      <c r="E201" s="50">
        <v>2700</v>
      </c>
      <c r="F201" s="48" t="s">
        <v>15</v>
      </c>
      <c r="G201" s="51">
        <v>10</v>
      </c>
      <c r="H201" s="51">
        <v>13</v>
      </c>
      <c r="I201" s="51">
        <v>0</v>
      </c>
      <c r="J201" s="52">
        <f t="shared" ref="J201" si="534">(IF(F201="SELL",G201-H201,IF(F201="BUY",H201-G201)))*E201</f>
        <v>8100</v>
      </c>
      <c r="K201" s="52">
        <v>0</v>
      </c>
      <c r="L201" s="53">
        <f t="shared" ref="L201" si="535">(K201+J201)/E201</f>
        <v>3</v>
      </c>
      <c r="M201" s="53">
        <f t="shared" ref="M201" si="536">L201*E201</f>
        <v>8100</v>
      </c>
    </row>
    <row r="202" spans="1:13" ht="15" customHeight="1">
      <c r="A202" s="47">
        <v>43861</v>
      </c>
      <c r="B202" s="48" t="s">
        <v>166</v>
      </c>
      <c r="C202" s="49" t="s">
        <v>16</v>
      </c>
      <c r="D202" s="49">
        <v>500</v>
      </c>
      <c r="E202" s="50">
        <v>1250</v>
      </c>
      <c r="F202" s="48" t="s">
        <v>15</v>
      </c>
      <c r="G202" s="51">
        <v>18</v>
      </c>
      <c r="H202" s="51">
        <v>20</v>
      </c>
      <c r="I202" s="51">
        <v>0</v>
      </c>
      <c r="J202" s="52">
        <f t="shared" ref="J202" si="537">(IF(F202="SELL",G202-H202,IF(F202="BUY",H202-G202)))*E202</f>
        <v>2500</v>
      </c>
      <c r="K202" s="52">
        <v>0</v>
      </c>
      <c r="L202" s="53">
        <f t="shared" ref="L202" si="538">(K202+J202)/E202</f>
        <v>2</v>
      </c>
      <c r="M202" s="53">
        <f t="shared" ref="M202" si="539">L202*E202</f>
        <v>2500</v>
      </c>
    </row>
    <row r="203" spans="1:13" ht="15" customHeight="1">
      <c r="A203" s="47">
        <v>43859</v>
      </c>
      <c r="B203" s="48" t="s">
        <v>165</v>
      </c>
      <c r="C203" s="49" t="s">
        <v>16</v>
      </c>
      <c r="D203" s="49">
        <v>10000</v>
      </c>
      <c r="E203" s="50">
        <v>125</v>
      </c>
      <c r="F203" s="48" t="s">
        <v>15</v>
      </c>
      <c r="G203" s="51">
        <v>290</v>
      </c>
      <c r="H203" s="51">
        <v>170</v>
      </c>
      <c r="I203" s="51">
        <v>0</v>
      </c>
      <c r="J203" s="52">
        <f t="shared" ref="J203" si="540">(IF(F203="SELL",G203-H203,IF(F203="BUY",H203-G203)))*E203</f>
        <v>-15000</v>
      </c>
      <c r="K203" s="52">
        <v>0</v>
      </c>
      <c r="L203" s="53">
        <f t="shared" ref="L203" si="541">(K203+J203)/E203</f>
        <v>-120</v>
      </c>
      <c r="M203" s="53">
        <f t="shared" ref="M203" si="542">L203*E203</f>
        <v>-15000</v>
      </c>
    </row>
    <row r="204" spans="1:13" ht="15" customHeight="1">
      <c r="A204" s="47">
        <v>43859</v>
      </c>
      <c r="B204" s="48" t="s">
        <v>125</v>
      </c>
      <c r="C204" s="49" t="s">
        <v>16</v>
      </c>
      <c r="D204" s="49">
        <v>390</v>
      </c>
      <c r="E204" s="50">
        <v>2700</v>
      </c>
      <c r="F204" s="48" t="s">
        <v>15</v>
      </c>
      <c r="G204" s="51">
        <v>3.5</v>
      </c>
      <c r="H204" s="51">
        <v>0.5</v>
      </c>
      <c r="I204" s="51">
        <v>0</v>
      </c>
      <c r="J204" s="52">
        <f t="shared" ref="J204" si="543">(IF(F204="SELL",G204-H204,IF(F204="BUY",H204-G204)))*E204</f>
        <v>-8100</v>
      </c>
      <c r="K204" s="52">
        <v>0</v>
      </c>
      <c r="L204" s="53">
        <f t="shared" ref="L204" si="544">(K204+J204)/E204</f>
        <v>-3</v>
      </c>
      <c r="M204" s="53">
        <f t="shared" ref="M204" si="545">L204*E204</f>
        <v>-8100</v>
      </c>
    </row>
    <row r="205" spans="1:13" ht="15" customHeight="1">
      <c r="A205" s="47">
        <v>43858</v>
      </c>
      <c r="B205" s="48" t="s">
        <v>130</v>
      </c>
      <c r="C205" s="49" t="s">
        <v>14</v>
      </c>
      <c r="D205" s="49">
        <v>500</v>
      </c>
      <c r="E205" s="50">
        <v>1851</v>
      </c>
      <c r="F205" s="48" t="s">
        <v>15</v>
      </c>
      <c r="G205" s="51">
        <v>6.5</v>
      </c>
      <c r="H205" s="51">
        <v>10</v>
      </c>
      <c r="I205" s="51">
        <v>14.5</v>
      </c>
      <c r="J205" s="52">
        <f t="shared" ref="J205" si="546">(IF(F205="SELL",G205-H205,IF(F205="BUY",H205-G205)))*E205</f>
        <v>6478.5</v>
      </c>
      <c r="K205" s="52">
        <f>E205*4.5</f>
        <v>8329.5</v>
      </c>
      <c r="L205" s="53">
        <f t="shared" ref="L205" si="547">(K205+J205)/E205</f>
        <v>8</v>
      </c>
      <c r="M205" s="53">
        <f t="shared" ref="M205" si="548">L205*E205</f>
        <v>14808</v>
      </c>
    </row>
    <row r="206" spans="1:13" ht="15" customHeight="1">
      <c r="A206" s="47">
        <v>43857</v>
      </c>
      <c r="B206" s="48" t="s">
        <v>157</v>
      </c>
      <c r="C206" s="49" t="s">
        <v>14</v>
      </c>
      <c r="D206" s="49">
        <v>50</v>
      </c>
      <c r="E206" s="50">
        <v>15700</v>
      </c>
      <c r="F206" s="48" t="s">
        <v>15</v>
      </c>
      <c r="G206" s="51">
        <v>1.3</v>
      </c>
      <c r="H206" s="51">
        <v>1.8</v>
      </c>
      <c r="I206" s="51">
        <v>0</v>
      </c>
      <c r="J206" s="52">
        <f t="shared" ref="J206" si="549">(IF(F206="SELL",G206-H206,IF(F206="BUY",H206-G206)))*E206</f>
        <v>7850</v>
      </c>
      <c r="K206" s="52">
        <v>0</v>
      </c>
      <c r="L206" s="53">
        <f t="shared" ref="L206" si="550">(K206+J206)/E206</f>
        <v>0.5</v>
      </c>
      <c r="M206" s="53">
        <f t="shared" ref="M206" si="551">L206*E206</f>
        <v>7850</v>
      </c>
    </row>
    <row r="207" spans="1:13" ht="15" customHeight="1">
      <c r="A207" s="47">
        <v>43854</v>
      </c>
      <c r="B207" s="48" t="s">
        <v>17</v>
      </c>
      <c r="C207" s="49" t="s">
        <v>16</v>
      </c>
      <c r="D207" s="49">
        <v>260</v>
      </c>
      <c r="E207" s="50">
        <v>6600</v>
      </c>
      <c r="F207" s="48" t="s">
        <v>15</v>
      </c>
      <c r="G207" s="51">
        <v>6.5</v>
      </c>
      <c r="H207" s="51">
        <v>8</v>
      </c>
      <c r="I207" s="51">
        <v>0</v>
      </c>
      <c r="J207" s="52">
        <f t="shared" ref="J207:J208" si="552">(IF(F207="SELL",G207-H207,IF(F207="BUY",H207-G207)))*E207</f>
        <v>9900</v>
      </c>
      <c r="K207" s="52">
        <v>0</v>
      </c>
      <c r="L207" s="53">
        <f t="shared" ref="L207:L208" si="553">(K207+J207)/E207</f>
        <v>1.5</v>
      </c>
      <c r="M207" s="53">
        <f t="shared" ref="M207:M208" si="554">L207*E207</f>
        <v>9900</v>
      </c>
    </row>
    <row r="208" spans="1:13" ht="15" customHeight="1">
      <c r="A208" s="47">
        <v>43853</v>
      </c>
      <c r="B208" s="48" t="s">
        <v>164</v>
      </c>
      <c r="C208" s="49" t="s">
        <v>16</v>
      </c>
      <c r="D208" s="49">
        <v>1180</v>
      </c>
      <c r="E208" s="50">
        <v>1200</v>
      </c>
      <c r="F208" s="48" t="s">
        <v>15</v>
      </c>
      <c r="G208" s="51">
        <v>22</v>
      </c>
      <c r="H208" s="51">
        <v>30</v>
      </c>
      <c r="I208" s="51">
        <v>0</v>
      </c>
      <c r="J208" s="52">
        <f t="shared" si="552"/>
        <v>9600</v>
      </c>
      <c r="K208" s="52">
        <v>0</v>
      </c>
      <c r="L208" s="53">
        <f t="shared" si="553"/>
        <v>8</v>
      </c>
      <c r="M208" s="53">
        <f t="shared" si="554"/>
        <v>9600</v>
      </c>
    </row>
    <row r="209" spans="1:33" ht="15" customHeight="1">
      <c r="A209" s="47">
        <v>43853</v>
      </c>
      <c r="B209" s="48" t="s">
        <v>131</v>
      </c>
      <c r="C209" s="49" t="s">
        <v>16</v>
      </c>
      <c r="D209" s="49">
        <v>480</v>
      </c>
      <c r="E209" s="50">
        <v>2750</v>
      </c>
      <c r="F209" s="48" t="s">
        <v>15</v>
      </c>
      <c r="G209" s="51">
        <v>10</v>
      </c>
      <c r="H209" s="51">
        <v>13</v>
      </c>
      <c r="I209" s="51">
        <v>16</v>
      </c>
      <c r="J209" s="52">
        <f t="shared" ref="J209:J210" si="555">(IF(F209="SELL",G209-H209,IF(F209="BUY",H209-G209)))*E209</f>
        <v>8250</v>
      </c>
      <c r="K209" s="52">
        <f>E209*3</f>
        <v>8250</v>
      </c>
      <c r="L209" s="53">
        <f t="shared" ref="L209:L210" si="556">(K209+J209)/E209</f>
        <v>6</v>
      </c>
      <c r="M209" s="53">
        <f t="shared" ref="M209:M210" si="557">L209*E209</f>
        <v>16500</v>
      </c>
    </row>
    <row r="210" spans="1:33" s="14" customFormat="1" ht="15" customHeight="1">
      <c r="A210" s="54">
        <v>43852</v>
      </c>
      <c r="B210" s="55" t="s">
        <v>17</v>
      </c>
      <c r="C210" s="56" t="s">
        <v>16</v>
      </c>
      <c r="D210" s="56">
        <v>260</v>
      </c>
      <c r="E210" s="57">
        <v>6600</v>
      </c>
      <c r="F210" s="55" t="s">
        <v>15</v>
      </c>
      <c r="G210" s="55">
        <v>5.8</v>
      </c>
      <c r="H210" s="55">
        <v>7.8</v>
      </c>
      <c r="I210" s="58">
        <v>0</v>
      </c>
      <c r="J210" s="52">
        <f t="shared" si="555"/>
        <v>13200</v>
      </c>
      <c r="K210" s="52">
        <v>0</v>
      </c>
      <c r="L210" s="53">
        <f t="shared" si="556"/>
        <v>2</v>
      </c>
      <c r="M210" s="53">
        <f t="shared" si="557"/>
        <v>13200</v>
      </c>
      <c r="N210" s="23"/>
      <c r="O210" s="23"/>
      <c r="P210" s="2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</row>
    <row r="211" spans="1:33" s="14" customFormat="1" ht="15" customHeight="1">
      <c r="A211" s="54">
        <v>43852</v>
      </c>
      <c r="B211" s="55" t="s">
        <v>163</v>
      </c>
      <c r="C211" s="56" t="s">
        <v>14</v>
      </c>
      <c r="D211" s="56">
        <v>200</v>
      </c>
      <c r="E211" s="57">
        <v>8000</v>
      </c>
      <c r="F211" s="55" t="s">
        <v>15</v>
      </c>
      <c r="G211" s="55">
        <v>3</v>
      </c>
      <c r="H211" s="55">
        <v>4</v>
      </c>
      <c r="I211" s="58">
        <v>5</v>
      </c>
      <c r="J211" s="52">
        <f t="shared" ref="J211" si="558">(IF(F211="SELL",G211-H211,IF(F211="BUY",H211-G211)))*E211</f>
        <v>8000</v>
      </c>
      <c r="K211" s="52">
        <f>E211*1</f>
        <v>8000</v>
      </c>
      <c r="L211" s="53">
        <f t="shared" ref="L211" si="559">(K211+J211)/E211</f>
        <v>2</v>
      </c>
      <c r="M211" s="53">
        <f t="shared" ref="M211" si="560">L211*E211</f>
        <v>16000</v>
      </c>
      <c r="N211" s="23"/>
      <c r="O211" s="23"/>
      <c r="P211" s="2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</row>
    <row r="212" spans="1:33" ht="15" customHeight="1">
      <c r="A212" s="47">
        <v>43851</v>
      </c>
      <c r="B212" s="48" t="s">
        <v>70</v>
      </c>
      <c r="C212" s="49" t="s">
        <v>16</v>
      </c>
      <c r="D212" s="49">
        <v>540</v>
      </c>
      <c r="E212" s="50">
        <v>1200</v>
      </c>
      <c r="F212" s="48" t="s">
        <v>15</v>
      </c>
      <c r="G212" s="51">
        <v>22</v>
      </c>
      <c r="H212" s="51">
        <v>30</v>
      </c>
      <c r="I212" s="51">
        <v>0</v>
      </c>
      <c r="J212" s="52">
        <f t="shared" ref="J212" si="561">(IF(F212="SELL",G212-H212,IF(F212="BUY",H212-G212)))*E212</f>
        <v>9600</v>
      </c>
      <c r="K212" s="52">
        <v>0</v>
      </c>
      <c r="L212" s="53">
        <f t="shared" ref="L212" si="562">(K212+J212)/E212</f>
        <v>8</v>
      </c>
      <c r="M212" s="53">
        <f t="shared" ref="M212" si="563">L212*E212</f>
        <v>9600</v>
      </c>
    </row>
    <row r="213" spans="1:33" ht="15" customHeight="1">
      <c r="A213" s="47">
        <v>43847</v>
      </c>
      <c r="B213" s="48" t="s">
        <v>162</v>
      </c>
      <c r="C213" s="49" t="s">
        <v>16</v>
      </c>
      <c r="D213" s="49">
        <v>1580</v>
      </c>
      <c r="E213" s="50">
        <v>550</v>
      </c>
      <c r="F213" s="48" t="s">
        <v>15</v>
      </c>
      <c r="G213" s="51">
        <v>32.5</v>
      </c>
      <c r="H213" s="51">
        <v>45</v>
      </c>
      <c r="I213" s="51">
        <v>0</v>
      </c>
      <c r="J213" s="52">
        <f t="shared" ref="J213" si="564">(IF(F213="SELL",G213-H213,IF(F213="BUY",H213-G213)))*E213</f>
        <v>6875</v>
      </c>
      <c r="K213" s="52">
        <v>0</v>
      </c>
      <c r="L213" s="53">
        <f t="shared" ref="L213" si="565">(K213+J213)/E213</f>
        <v>12.5</v>
      </c>
      <c r="M213" s="53">
        <f t="shared" ref="M213" si="566">L213*E213</f>
        <v>6875</v>
      </c>
    </row>
    <row r="214" spans="1:33" ht="15" customHeight="1">
      <c r="A214" s="47">
        <v>43846</v>
      </c>
      <c r="B214" s="48" t="s">
        <v>68</v>
      </c>
      <c r="C214" s="49" t="s">
        <v>16</v>
      </c>
      <c r="D214" s="49">
        <v>2950</v>
      </c>
      <c r="E214" s="50">
        <v>500</v>
      </c>
      <c r="F214" s="48" t="s">
        <v>15</v>
      </c>
      <c r="G214" s="51">
        <v>77.5</v>
      </c>
      <c r="H214" s="51">
        <v>90</v>
      </c>
      <c r="I214" s="51">
        <v>105</v>
      </c>
      <c r="J214" s="52">
        <f t="shared" ref="J214" si="567">(IF(F214="SELL",G214-H214,IF(F214="BUY",H214-G214)))*E214</f>
        <v>6250</v>
      </c>
      <c r="K214" s="52">
        <f>E214*15</f>
        <v>7500</v>
      </c>
      <c r="L214" s="53">
        <f t="shared" ref="L214" si="568">(K214+J214)/E214</f>
        <v>27.5</v>
      </c>
      <c r="M214" s="53">
        <f t="shared" ref="M214" si="569">L214*E214</f>
        <v>13750</v>
      </c>
    </row>
    <row r="215" spans="1:33" ht="15" customHeight="1">
      <c r="A215" s="47">
        <v>43845</v>
      </c>
      <c r="B215" s="48" t="s">
        <v>153</v>
      </c>
      <c r="C215" s="49" t="s">
        <v>16</v>
      </c>
      <c r="D215" s="49">
        <v>1860</v>
      </c>
      <c r="E215" s="50">
        <v>1200</v>
      </c>
      <c r="F215" s="48" t="s">
        <v>15</v>
      </c>
      <c r="G215" s="51">
        <v>32.5</v>
      </c>
      <c r="H215" s="51">
        <v>40</v>
      </c>
      <c r="I215" s="51">
        <v>0</v>
      </c>
      <c r="J215" s="52">
        <f t="shared" ref="J215" si="570">(IF(F215="SELL",G215-H215,IF(F215="BUY",H215-G215)))*E215</f>
        <v>9000</v>
      </c>
      <c r="K215" s="52">
        <v>0</v>
      </c>
      <c r="L215" s="53">
        <f t="shared" ref="L215" si="571">(K215+J215)/E215</f>
        <v>7.5</v>
      </c>
      <c r="M215" s="53">
        <f t="shared" ref="M215" si="572">L215*E215</f>
        <v>9000</v>
      </c>
    </row>
    <row r="216" spans="1:33" ht="15" customHeight="1">
      <c r="A216" s="47">
        <v>43844</v>
      </c>
      <c r="B216" s="48" t="s">
        <v>161</v>
      </c>
      <c r="C216" s="49" t="s">
        <v>16</v>
      </c>
      <c r="D216" s="49">
        <v>120</v>
      </c>
      <c r="E216" s="50">
        <v>4800</v>
      </c>
      <c r="F216" s="48" t="s">
        <v>15</v>
      </c>
      <c r="G216" s="51">
        <v>4</v>
      </c>
      <c r="H216" s="51">
        <v>5.4</v>
      </c>
      <c r="I216" s="51">
        <v>0</v>
      </c>
      <c r="J216" s="52">
        <f t="shared" ref="J216" si="573">(IF(F216="SELL",G216-H216,IF(F216="BUY",H216-G216)))*E216</f>
        <v>6720.0000000000018</v>
      </c>
      <c r="K216" s="52">
        <v>0</v>
      </c>
      <c r="L216" s="53">
        <f t="shared" ref="L216" si="574">(K216+J216)/E216</f>
        <v>1.4000000000000004</v>
      </c>
      <c r="M216" s="53">
        <f t="shared" ref="M216" si="575">L216*E216</f>
        <v>6720.0000000000018</v>
      </c>
    </row>
    <row r="217" spans="1:33" ht="15" customHeight="1">
      <c r="A217" s="47">
        <v>43844</v>
      </c>
      <c r="B217" s="48" t="s">
        <v>160</v>
      </c>
      <c r="C217" s="49" t="s">
        <v>16</v>
      </c>
      <c r="D217" s="49">
        <v>9500</v>
      </c>
      <c r="E217" s="50">
        <v>250</v>
      </c>
      <c r="F217" s="48" t="s">
        <v>15</v>
      </c>
      <c r="G217" s="51">
        <v>180</v>
      </c>
      <c r="H217" s="51">
        <v>210</v>
      </c>
      <c r="I217" s="51">
        <v>225</v>
      </c>
      <c r="J217" s="52">
        <f t="shared" ref="J217" si="576">(IF(F217="SELL",G217-H217,IF(F217="BUY",H217-G217)))*E217</f>
        <v>7500</v>
      </c>
      <c r="K217" s="52">
        <f>E217*15</f>
        <v>3750</v>
      </c>
      <c r="L217" s="53">
        <f t="shared" ref="L217" si="577">(K217+J217)/E217</f>
        <v>45</v>
      </c>
      <c r="M217" s="53">
        <f t="shared" ref="M217" si="578">L217*E217</f>
        <v>11250</v>
      </c>
    </row>
    <row r="218" spans="1:33" ht="15" customHeight="1">
      <c r="A218" s="47">
        <v>43843</v>
      </c>
      <c r="B218" s="48" t="s">
        <v>49</v>
      </c>
      <c r="C218" s="49" t="s">
        <v>16</v>
      </c>
      <c r="D218" s="49">
        <v>500</v>
      </c>
      <c r="E218" s="50">
        <v>3000</v>
      </c>
      <c r="F218" s="48" t="s">
        <v>15</v>
      </c>
      <c r="G218" s="51">
        <v>12.5</v>
      </c>
      <c r="H218" s="51">
        <v>13.2</v>
      </c>
      <c r="I218" s="51">
        <v>0</v>
      </c>
      <c r="J218" s="52">
        <f t="shared" ref="J218:J219" si="579">(IF(F218="SELL",G218-H218,IF(F218="BUY",H218-G218)))*E218</f>
        <v>2099.9999999999977</v>
      </c>
      <c r="K218" s="52">
        <v>0</v>
      </c>
      <c r="L218" s="53">
        <f t="shared" ref="L218:L219" si="580">(K218+J218)/E218</f>
        <v>0.69999999999999929</v>
      </c>
      <c r="M218" s="53">
        <f t="shared" ref="M218:M219" si="581">L218*E218</f>
        <v>2099.9999999999977</v>
      </c>
    </row>
    <row r="219" spans="1:33" ht="15" customHeight="1">
      <c r="A219" s="47">
        <v>43840</v>
      </c>
      <c r="B219" s="48" t="s">
        <v>25</v>
      </c>
      <c r="C219" s="49" t="s">
        <v>16</v>
      </c>
      <c r="D219" s="49">
        <v>2440</v>
      </c>
      <c r="E219" s="50">
        <v>500</v>
      </c>
      <c r="F219" s="48" t="s">
        <v>15</v>
      </c>
      <c r="G219" s="51">
        <v>70</v>
      </c>
      <c r="H219" s="51">
        <v>83</v>
      </c>
      <c r="I219" s="51">
        <v>0</v>
      </c>
      <c r="J219" s="52">
        <f t="shared" si="579"/>
        <v>6500</v>
      </c>
      <c r="K219" s="52">
        <v>0</v>
      </c>
      <c r="L219" s="53">
        <f t="shared" si="580"/>
        <v>13</v>
      </c>
      <c r="M219" s="53">
        <f t="shared" si="581"/>
        <v>6500</v>
      </c>
    </row>
    <row r="220" spans="1:33" ht="15" customHeight="1">
      <c r="A220" s="47">
        <v>43839</v>
      </c>
      <c r="B220" s="48" t="s">
        <v>68</v>
      </c>
      <c r="C220" s="49" t="s">
        <v>16</v>
      </c>
      <c r="D220" s="49">
        <v>3000</v>
      </c>
      <c r="E220" s="50">
        <v>750</v>
      </c>
      <c r="F220" s="48" t="s">
        <v>15</v>
      </c>
      <c r="G220" s="51">
        <v>50</v>
      </c>
      <c r="H220" s="51">
        <v>58</v>
      </c>
      <c r="I220" s="51">
        <v>68</v>
      </c>
      <c r="J220" s="52">
        <f t="shared" ref="J220" si="582">(IF(F220="SELL",G220-H220,IF(F220="BUY",H220-G220)))*E220</f>
        <v>6000</v>
      </c>
      <c r="K220" s="52">
        <f>E220*10</f>
        <v>7500</v>
      </c>
      <c r="L220" s="53">
        <f t="shared" ref="L220" si="583">(K220+J220)/E220</f>
        <v>18</v>
      </c>
      <c r="M220" s="53">
        <f t="shared" ref="M220" si="584">L220*E220</f>
        <v>13500</v>
      </c>
    </row>
    <row r="221" spans="1:33" ht="15" customHeight="1">
      <c r="A221" s="47">
        <v>43838</v>
      </c>
      <c r="B221" s="48" t="s">
        <v>126</v>
      </c>
      <c r="C221" s="49" t="s">
        <v>16</v>
      </c>
      <c r="D221" s="49">
        <v>2260</v>
      </c>
      <c r="E221" s="50">
        <v>500</v>
      </c>
      <c r="F221" s="48" t="s">
        <v>15</v>
      </c>
      <c r="G221" s="51">
        <v>57</v>
      </c>
      <c r="H221" s="51">
        <v>63.5</v>
      </c>
      <c r="I221" s="51">
        <v>0</v>
      </c>
      <c r="J221" s="52">
        <f t="shared" ref="J221" si="585">(IF(F221="SELL",G221-H221,IF(F221="BUY",H221-G221)))*E221</f>
        <v>3250</v>
      </c>
      <c r="K221" s="52">
        <v>0</v>
      </c>
      <c r="L221" s="53">
        <f t="shared" ref="L221" si="586">(K221+J221)/E221</f>
        <v>6.5</v>
      </c>
      <c r="M221" s="53">
        <f t="shared" ref="M221" si="587">L221*E221</f>
        <v>3250</v>
      </c>
    </row>
    <row r="222" spans="1:33" ht="15" customHeight="1">
      <c r="A222" s="47">
        <v>43837</v>
      </c>
      <c r="B222" s="48" t="s">
        <v>159</v>
      </c>
      <c r="C222" s="49" t="s">
        <v>14</v>
      </c>
      <c r="D222" s="49">
        <v>240</v>
      </c>
      <c r="E222" s="50">
        <v>4800</v>
      </c>
      <c r="F222" s="48" t="s">
        <v>15</v>
      </c>
      <c r="G222" s="51">
        <v>7</v>
      </c>
      <c r="H222" s="51">
        <v>7.4</v>
      </c>
      <c r="I222" s="51">
        <v>0</v>
      </c>
      <c r="J222" s="52">
        <f t="shared" ref="J222" si="588">(IF(F222="SELL",G222-H222,IF(F222="BUY",H222-G222)))*E222</f>
        <v>1920.0000000000018</v>
      </c>
      <c r="K222" s="52">
        <v>0</v>
      </c>
      <c r="L222" s="53">
        <f t="shared" ref="L222" si="589">(K222+J222)/E222</f>
        <v>0.40000000000000036</v>
      </c>
      <c r="M222" s="53">
        <f t="shared" ref="M222" si="590">L222*E222</f>
        <v>1920.0000000000018</v>
      </c>
    </row>
    <row r="223" spans="1:33" ht="15" customHeight="1">
      <c r="A223" s="47">
        <v>43836</v>
      </c>
      <c r="B223" s="48" t="s">
        <v>159</v>
      </c>
      <c r="C223" s="49" t="s">
        <v>14</v>
      </c>
      <c r="D223" s="49">
        <v>240</v>
      </c>
      <c r="E223" s="50">
        <v>4800</v>
      </c>
      <c r="F223" s="48" t="s">
        <v>15</v>
      </c>
      <c r="G223" s="51">
        <v>7</v>
      </c>
      <c r="H223" s="51">
        <v>7.85</v>
      </c>
      <c r="I223" s="51">
        <v>0</v>
      </c>
      <c r="J223" s="52">
        <f t="shared" ref="J223" si="591">(IF(F223="SELL",G223-H223,IF(F223="BUY",H223-G223)))*E223</f>
        <v>4079.9999999999982</v>
      </c>
      <c r="K223" s="52">
        <v>0</v>
      </c>
      <c r="L223" s="53">
        <f t="shared" ref="L223" si="592">(K223+J223)/E223</f>
        <v>0.84999999999999964</v>
      </c>
      <c r="M223" s="53">
        <f t="shared" ref="M223" si="593">L223*E223</f>
        <v>4079.9999999999982</v>
      </c>
    </row>
    <row r="224" spans="1:33" ht="15" customHeight="1">
      <c r="A224" s="47">
        <v>43833</v>
      </c>
      <c r="B224" s="48" t="s">
        <v>55</v>
      </c>
      <c r="C224" s="49" t="s">
        <v>16</v>
      </c>
      <c r="D224" s="49">
        <v>740</v>
      </c>
      <c r="E224" s="50">
        <v>2400</v>
      </c>
      <c r="F224" s="48" t="s">
        <v>15</v>
      </c>
      <c r="G224" s="51">
        <v>26</v>
      </c>
      <c r="H224" s="51">
        <v>28.3</v>
      </c>
      <c r="I224" s="51">
        <v>0</v>
      </c>
      <c r="J224" s="52">
        <f t="shared" ref="J224:J226" si="594">(IF(F224="SELL",G224-H224,IF(F224="BUY",H224-G224)))*E224</f>
        <v>5520.0000000000018</v>
      </c>
      <c r="K224" s="52">
        <v>0</v>
      </c>
      <c r="L224" s="53">
        <f t="shared" ref="L224:L226" si="595">(K224+J224)/E224</f>
        <v>2.3000000000000007</v>
      </c>
      <c r="M224" s="53">
        <f t="shared" ref="M224:M226" si="596">L224*E224</f>
        <v>5520.0000000000018</v>
      </c>
    </row>
    <row r="225" spans="1:13" ht="15" customHeight="1">
      <c r="A225" s="47">
        <v>43833</v>
      </c>
      <c r="B225" s="48" t="s">
        <v>141</v>
      </c>
      <c r="C225" s="49" t="s">
        <v>14</v>
      </c>
      <c r="D225" s="49">
        <v>3050</v>
      </c>
      <c r="E225" s="50">
        <v>500</v>
      </c>
      <c r="F225" s="48" t="s">
        <v>15</v>
      </c>
      <c r="G225" s="51">
        <v>56</v>
      </c>
      <c r="H225" s="51">
        <v>65</v>
      </c>
      <c r="I225" s="51">
        <v>0</v>
      </c>
      <c r="J225" s="52">
        <f t="shared" ref="J225" si="597">(IF(F225="SELL",G225-H225,IF(F225="BUY",H225-G225)))*E225</f>
        <v>4500</v>
      </c>
      <c r="K225" s="52">
        <v>0</v>
      </c>
      <c r="L225" s="53">
        <f t="shared" ref="L225" si="598">(K225+J225)/E225</f>
        <v>9</v>
      </c>
      <c r="M225" s="53">
        <f t="shared" ref="M225" si="599">L225*E225</f>
        <v>4500</v>
      </c>
    </row>
    <row r="226" spans="1:13" ht="15" customHeight="1">
      <c r="A226" s="47">
        <v>43832</v>
      </c>
      <c r="B226" s="48" t="s">
        <v>25</v>
      </c>
      <c r="C226" s="49" t="s">
        <v>16</v>
      </c>
      <c r="D226" s="49">
        <v>2460</v>
      </c>
      <c r="E226" s="50">
        <v>500</v>
      </c>
      <c r="F226" s="48" t="s">
        <v>15</v>
      </c>
      <c r="G226" s="51">
        <v>47</v>
      </c>
      <c r="H226" s="51">
        <v>55</v>
      </c>
      <c r="I226" s="51">
        <v>60</v>
      </c>
      <c r="J226" s="52">
        <f t="shared" si="594"/>
        <v>4000</v>
      </c>
      <c r="K226" s="52">
        <f>E226*5</f>
        <v>2500</v>
      </c>
      <c r="L226" s="53">
        <f t="shared" si="595"/>
        <v>13</v>
      </c>
      <c r="M226" s="53">
        <f t="shared" si="596"/>
        <v>6500</v>
      </c>
    </row>
    <row r="227" spans="1:13" ht="15" customHeight="1">
      <c r="A227" s="47">
        <v>43832</v>
      </c>
      <c r="B227" s="48" t="s">
        <v>121</v>
      </c>
      <c r="C227" s="49" t="s">
        <v>16</v>
      </c>
      <c r="D227" s="49">
        <v>430</v>
      </c>
      <c r="E227" s="50">
        <v>500</v>
      </c>
      <c r="F227" s="48" t="s">
        <v>15</v>
      </c>
      <c r="G227" s="51">
        <v>101</v>
      </c>
      <c r="H227" s="51">
        <v>110.6</v>
      </c>
      <c r="I227" s="51">
        <v>0</v>
      </c>
      <c r="J227" s="52">
        <f t="shared" ref="J227" si="600">(IF(F227="SELL",G227-H227,IF(F227="BUY",H227-G227)))*E227</f>
        <v>4799.9999999999973</v>
      </c>
      <c r="K227" s="52">
        <v>0</v>
      </c>
      <c r="L227" s="53">
        <f t="shared" ref="L227" si="601">(K227+J227)/E227</f>
        <v>9.5999999999999943</v>
      </c>
      <c r="M227" s="53">
        <f t="shared" ref="M227" si="602">L227*E227</f>
        <v>4799.9999999999973</v>
      </c>
    </row>
    <row r="228" spans="1:13" ht="15" customHeight="1">
      <c r="A228" s="47">
        <v>43831</v>
      </c>
      <c r="B228" s="48" t="s">
        <v>46</v>
      </c>
      <c r="C228" s="49" t="s">
        <v>14</v>
      </c>
      <c r="D228" s="49">
        <v>450</v>
      </c>
      <c r="E228" s="50">
        <v>2400</v>
      </c>
      <c r="F228" s="48" t="s">
        <v>15</v>
      </c>
      <c r="G228" s="51">
        <v>21</v>
      </c>
      <c r="H228" s="51">
        <v>24</v>
      </c>
      <c r="I228" s="51">
        <v>29</v>
      </c>
      <c r="J228" s="52">
        <f t="shared" ref="J228" si="603">(IF(F228="SELL",G228-H228,IF(F228="BUY",H228-G228)))*E228</f>
        <v>7200</v>
      </c>
      <c r="K228" s="52">
        <f>E228*5</f>
        <v>12000</v>
      </c>
      <c r="L228" s="53">
        <f t="shared" ref="L228" si="604">(K228+J228)/E228</f>
        <v>8</v>
      </c>
      <c r="M228" s="53">
        <f t="shared" ref="M228" si="605">L228*E228</f>
        <v>19200</v>
      </c>
    </row>
    <row r="229" spans="1:13" ht="15" customHeight="1">
      <c r="A229" s="47">
        <v>43830</v>
      </c>
      <c r="B229" s="48" t="s">
        <v>143</v>
      </c>
      <c r="C229" s="49" t="s">
        <v>16</v>
      </c>
      <c r="D229" s="49">
        <v>1640</v>
      </c>
      <c r="E229" s="50">
        <v>500</v>
      </c>
      <c r="F229" s="48" t="s">
        <v>15</v>
      </c>
      <c r="G229" s="51">
        <v>68</v>
      </c>
      <c r="H229" s="51">
        <v>75</v>
      </c>
      <c r="I229" s="51">
        <v>0</v>
      </c>
      <c r="J229" s="52">
        <f t="shared" ref="J229" si="606">(IF(F229="SELL",G229-H229,IF(F229="BUY",H229-G229)))*E229</f>
        <v>3500</v>
      </c>
      <c r="K229" s="52">
        <v>0</v>
      </c>
      <c r="L229" s="53">
        <f t="shared" ref="L229" si="607">(K229+J229)/E229</f>
        <v>7</v>
      </c>
      <c r="M229" s="53">
        <f t="shared" ref="M229" si="608">L229*E229</f>
        <v>3500</v>
      </c>
    </row>
    <row r="230" spans="1:13" ht="15" customHeight="1">
      <c r="A230" s="47">
        <v>43829</v>
      </c>
      <c r="B230" s="48" t="s">
        <v>158</v>
      </c>
      <c r="C230" s="49" t="s">
        <v>16</v>
      </c>
      <c r="D230" s="49">
        <v>350</v>
      </c>
      <c r="E230" s="50">
        <v>1700</v>
      </c>
      <c r="F230" s="48" t="s">
        <v>15</v>
      </c>
      <c r="G230" s="51">
        <v>14.2</v>
      </c>
      <c r="H230" s="51">
        <v>11.4</v>
      </c>
      <c r="I230" s="51">
        <v>0</v>
      </c>
      <c r="J230" s="52">
        <f t="shared" ref="J230" si="609">(IF(F230="SELL",G230-H230,IF(F230="BUY",H230-G230)))*E230</f>
        <v>-4759.9999999999982</v>
      </c>
      <c r="K230" s="52">
        <v>0</v>
      </c>
      <c r="L230" s="53">
        <f t="shared" ref="L230" si="610">(K230+J230)/E230</f>
        <v>-2.7999999999999989</v>
      </c>
      <c r="M230" s="53">
        <f t="shared" ref="M230" si="611">L230*E230</f>
        <v>-4759.9999999999982</v>
      </c>
    </row>
    <row r="231" spans="1:13" ht="15" customHeight="1">
      <c r="A231" s="47">
        <v>43826</v>
      </c>
      <c r="B231" s="48" t="s">
        <v>17</v>
      </c>
      <c r="C231" s="49" t="s">
        <v>16</v>
      </c>
      <c r="D231" s="49">
        <v>2130</v>
      </c>
      <c r="E231" s="50">
        <v>3300</v>
      </c>
      <c r="F231" s="48" t="s">
        <v>15</v>
      </c>
      <c r="G231" s="51">
        <v>10.5</v>
      </c>
      <c r="H231" s="51">
        <v>12.1</v>
      </c>
      <c r="I231" s="51">
        <v>0</v>
      </c>
      <c r="J231" s="52">
        <f t="shared" ref="J231" si="612">(IF(F231="SELL",G231-H231,IF(F231="BUY",H231-G231)))*E231</f>
        <v>5279.9999999999991</v>
      </c>
      <c r="K231" s="52">
        <v>0</v>
      </c>
      <c r="L231" s="53">
        <f t="shared" ref="L231" si="613">(K231+J231)/E231</f>
        <v>1.5999999999999996</v>
      </c>
      <c r="M231" s="53">
        <f t="shared" ref="M231" si="614">L231*E231</f>
        <v>5279.9999999999991</v>
      </c>
    </row>
    <row r="232" spans="1:13" ht="15" customHeight="1">
      <c r="A232" s="47">
        <v>43825</v>
      </c>
      <c r="B232" s="48" t="s">
        <v>157</v>
      </c>
      <c r="C232" s="49" t="s">
        <v>16</v>
      </c>
      <c r="D232" s="49">
        <v>42</v>
      </c>
      <c r="E232" s="50">
        <v>12000</v>
      </c>
      <c r="F232" s="48" t="s">
        <v>15</v>
      </c>
      <c r="G232" s="51">
        <v>2</v>
      </c>
      <c r="H232" s="51">
        <v>2.4500000000000002</v>
      </c>
      <c r="I232" s="51">
        <v>0</v>
      </c>
      <c r="J232" s="52">
        <f t="shared" ref="J232" si="615">(IF(F232="SELL",G232-H232,IF(F232="BUY",H232-G232)))*E232</f>
        <v>5400.0000000000018</v>
      </c>
      <c r="K232" s="52">
        <v>0</v>
      </c>
      <c r="L232" s="53">
        <f t="shared" ref="L232" si="616">(K232+J232)/E232</f>
        <v>0.45000000000000018</v>
      </c>
      <c r="M232" s="53">
        <f t="shared" ref="M232" si="617">L232*E232</f>
        <v>5400.0000000000018</v>
      </c>
    </row>
    <row r="233" spans="1:13" ht="15" customHeight="1">
      <c r="A233" s="47">
        <v>43823</v>
      </c>
      <c r="B233" s="48" t="s">
        <v>53</v>
      </c>
      <c r="C233" s="49" t="s">
        <v>16</v>
      </c>
      <c r="D233" s="49">
        <v>290</v>
      </c>
      <c r="E233" s="50">
        <v>1300</v>
      </c>
      <c r="F233" s="48" t="s">
        <v>15</v>
      </c>
      <c r="G233" s="51">
        <v>13.5</v>
      </c>
      <c r="H233" s="51">
        <v>7</v>
      </c>
      <c r="I233" s="51">
        <v>0</v>
      </c>
      <c r="J233" s="52">
        <f t="shared" ref="J233" si="618">(IF(F233="SELL",G233-H233,IF(F233="BUY",H233-G233)))*E233</f>
        <v>-8450</v>
      </c>
      <c r="K233" s="52">
        <v>0</v>
      </c>
      <c r="L233" s="53">
        <f t="shared" ref="L233" si="619">(K233+J233)/E233</f>
        <v>-6.5</v>
      </c>
      <c r="M233" s="53">
        <f t="shared" ref="M233" si="620">L233*E233</f>
        <v>-8450</v>
      </c>
    </row>
    <row r="234" spans="1:13" ht="15" customHeight="1">
      <c r="A234" s="47">
        <v>43822</v>
      </c>
      <c r="B234" s="48" t="s">
        <v>142</v>
      </c>
      <c r="C234" s="49" t="s">
        <v>16</v>
      </c>
      <c r="D234" s="49">
        <v>1260</v>
      </c>
      <c r="E234" s="50">
        <v>1000</v>
      </c>
      <c r="F234" s="48" t="s">
        <v>15</v>
      </c>
      <c r="G234" s="51">
        <v>40.5</v>
      </c>
      <c r="H234" s="51">
        <v>43.8</v>
      </c>
      <c r="I234" s="51">
        <v>0</v>
      </c>
      <c r="J234" s="52">
        <f t="shared" ref="J234" si="621">(IF(F234="SELL",G234-H234,IF(F234="BUY",H234-G234)))*E234</f>
        <v>3299.9999999999973</v>
      </c>
      <c r="K234" s="52">
        <v>0</v>
      </c>
      <c r="L234" s="53">
        <f t="shared" ref="L234" si="622">(K234+J234)/E234</f>
        <v>3.2999999999999972</v>
      </c>
      <c r="M234" s="53">
        <f t="shared" ref="M234" si="623">L234*E234</f>
        <v>3299.9999999999973</v>
      </c>
    </row>
    <row r="235" spans="1:13" ht="15" customHeight="1">
      <c r="A235" s="47">
        <v>43819</v>
      </c>
      <c r="B235" s="48" t="s">
        <v>156</v>
      </c>
      <c r="C235" s="49" t="s">
        <v>16</v>
      </c>
      <c r="D235" s="49">
        <v>1260</v>
      </c>
      <c r="E235" s="50">
        <v>1000</v>
      </c>
      <c r="F235" s="48" t="s">
        <v>15</v>
      </c>
      <c r="G235" s="51">
        <v>35</v>
      </c>
      <c r="H235" s="51">
        <v>40.5</v>
      </c>
      <c r="I235" s="51">
        <v>0</v>
      </c>
      <c r="J235" s="52">
        <f t="shared" ref="J235" si="624">(IF(F235="SELL",G235-H235,IF(F235="BUY",H235-G235)))*E235</f>
        <v>5500</v>
      </c>
      <c r="K235" s="52">
        <v>0</v>
      </c>
      <c r="L235" s="53">
        <f t="shared" ref="L235" si="625">(K235+J235)/E235</f>
        <v>5.5</v>
      </c>
      <c r="M235" s="53">
        <f t="shared" ref="M235" si="626">L235*E235</f>
        <v>5500</v>
      </c>
    </row>
    <row r="236" spans="1:13" ht="15" customHeight="1">
      <c r="A236" s="47">
        <v>43818</v>
      </c>
      <c r="B236" s="48" t="s">
        <v>154</v>
      </c>
      <c r="C236" s="49" t="s">
        <v>16</v>
      </c>
      <c r="D236" s="49">
        <v>820</v>
      </c>
      <c r="E236" s="50">
        <v>12000</v>
      </c>
      <c r="F236" s="48" t="s">
        <v>15</v>
      </c>
      <c r="G236" s="51">
        <v>3</v>
      </c>
      <c r="H236" s="51">
        <v>3.75</v>
      </c>
      <c r="I236" s="51">
        <v>0</v>
      </c>
      <c r="J236" s="52">
        <f t="shared" ref="J236:J237" si="627">(IF(F236="SELL",G236-H236,IF(F236="BUY",H236-G236)))*E236</f>
        <v>9000</v>
      </c>
      <c r="K236" s="52">
        <v>0</v>
      </c>
      <c r="L236" s="53">
        <f t="shared" ref="L236:L237" si="628">(K236+J236)/E236</f>
        <v>0.75</v>
      </c>
      <c r="M236" s="53">
        <f t="shared" ref="M236:M237" si="629">L236*E236</f>
        <v>9000</v>
      </c>
    </row>
    <row r="237" spans="1:13" ht="15" customHeight="1">
      <c r="A237" s="47">
        <v>43817</v>
      </c>
      <c r="B237" s="48" t="s">
        <v>155</v>
      </c>
      <c r="C237" s="49" t="s">
        <v>16</v>
      </c>
      <c r="D237" s="49">
        <v>1320</v>
      </c>
      <c r="E237" s="50">
        <v>800</v>
      </c>
      <c r="F237" s="48" t="s">
        <v>15</v>
      </c>
      <c r="G237" s="51">
        <v>38</v>
      </c>
      <c r="H237" s="51">
        <v>43.2</v>
      </c>
      <c r="I237" s="51">
        <v>0</v>
      </c>
      <c r="J237" s="52">
        <f t="shared" si="627"/>
        <v>4160.0000000000018</v>
      </c>
      <c r="K237" s="52">
        <v>0</v>
      </c>
      <c r="L237" s="53">
        <f t="shared" si="628"/>
        <v>5.200000000000002</v>
      </c>
      <c r="M237" s="53">
        <f t="shared" si="629"/>
        <v>4160.0000000000018</v>
      </c>
    </row>
    <row r="238" spans="1:13" ht="15" customHeight="1">
      <c r="A238" s="47">
        <v>43817</v>
      </c>
      <c r="B238" s="48" t="s">
        <v>153</v>
      </c>
      <c r="C238" s="49" t="s">
        <v>16</v>
      </c>
      <c r="D238" s="49">
        <v>1760</v>
      </c>
      <c r="E238" s="50">
        <v>1200</v>
      </c>
      <c r="F238" s="48" t="s">
        <v>15</v>
      </c>
      <c r="G238" s="51">
        <v>20</v>
      </c>
      <c r="H238" s="51">
        <v>27</v>
      </c>
      <c r="I238" s="51">
        <v>35</v>
      </c>
      <c r="J238" s="52">
        <f t="shared" ref="J238" si="630">(IF(F238="SELL",G238-H238,IF(F238="BUY",H238-G238)))*E238</f>
        <v>8400</v>
      </c>
      <c r="K238" s="52">
        <f>E238*8</f>
        <v>9600</v>
      </c>
      <c r="L238" s="53">
        <f t="shared" ref="L238" si="631">(K238+J238)/E238</f>
        <v>15</v>
      </c>
      <c r="M238" s="53">
        <f t="shared" ref="M238" si="632">L238*E238</f>
        <v>18000</v>
      </c>
    </row>
    <row r="239" spans="1:13" ht="15" customHeight="1">
      <c r="A239" s="47">
        <v>43817</v>
      </c>
      <c r="B239" s="48" t="s">
        <v>152</v>
      </c>
      <c r="C239" s="49" t="s">
        <v>16</v>
      </c>
      <c r="D239" s="49">
        <v>720</v>
      </c>
      <c r="E239" s="50">
        <v>3000</v>
      </c>
      <c r="F239" s="48" t="s">
        <v>15</v>
      </c>
      <c r="G239" s="51">
        <v>15</v>
      </c>
      <c r="H239" s="51">
        <v>12</v>
      </c>
      <c r="I239" s="51">
        <v>0</v>
      </c>
      <c r="J239" s="52">
        <f t="shared" ref="J239" si="633">(IF(F239="SELL",G239-H239,IF(F239="BUY",H239-G239)))*E239</f>
        <v>-9000</v>
      </c>
      <c r="K239" s="52">
        <v>0</v>
      </c>
      <c r="L239" s="53">
        <f t="shared" ref="L239" si="634">(K239+J239)/E239</f>
        <v>-3</v>
      </c>
      <c r="M239" s="53">
        <f t="shared" ref="M239" si="635">L239*E239</f>
        <v>-9000</v>
      </c>
    </row>
    <row r="240" spans="1:13" ht="15" customHeight="1">
      <c r="A240" s="47">
        <v>43815</v>
      </c>
      <c r="B240" s="48" t="s">
        <v>151</v>
      </c>
      <c r="C240" s="49" t="s">
        <v>16</v>
      </c>
      <c r="D240" s="49">
        <v>1200</v>
      </c>
      <c r="E240" s="50">
        <v>1500</v>
      </c>
      <c r="F240" s="48" t="s">
        <v>15</v>
      </c>
      <c r="G240" s="51">
        <v>25</v>
      </c>
      <c r="H240" s="51">
        <v>19</v>
      </c>
      <c r="I240" s="51">
        <v>0</v>
      </c>
      <c r="J240" s="52">
        <f t="shared" ref="J240" si="636">(IF(F240="SELL",G240-H240,IF(F240="BUY",H240-G240)))*E240</f>
        <v>-9000</v>
      </c>
      <c r="K240" s="52">
        <v>0</v>
      </c>
      <c r="L240" s="53">
        <f t="shared" ref="L240" si="637">(K240+J240)/E240</f>
        <v>-6</v>
      </c>
      <c r="M240" s="53">
        <f t="shared" ref="M240" si="638">L240*E240</f>
        <v>-9000</v>
      </c>
    </row>
    <row r="241" spans="1:13" ht="15" customHeight="1">
      <c r="A241" s="47">
        <v>43811</v>
      </c>
      <c r="B241" s="48" t="s">
        <v>82</v>
      </c>
      <c r="C241" s="49" t="s">
        <v>16</v>
      </c>
      <c r="D241" s="49">
        <v>520</v>
      </c>
      <c r="E241" s="50">
        <v>1375</v>
      </c>
      <c r="F241" s="48" t="s">
        <v>15</v>
      </c>
      <c r="G241" s="51">
        <v>21</v>
      </c>
      <c r="H241" s="51">
        <v>25</v>
      </c>
      <c r="I241" s="51">
        <v>0</v>
      </c>
      <c r="J241" s="52">
        <f t="shared" ref="J241" si="639">(IF(F241="SELL",G241-H241,IF(F241="BUY",H241-G241)))*E241</f>
        <v>5500</v>
      </c>
      <c r="K241" s="52">
        <v>0</v>
      </c>
      <c r="L241" s="53">
        <f t="shared" ref="L241" si="640">(K241+J241)/E241</f>
        <v>4</v>
      </c>
      <c r="M241" s="53">
        <f t="shared" ref="M241" si="641">L241*E241</f>
        <v>5500</v>
      </c>
    </row>
    <row r="242" spans="1:13" ht="15" customHeight="1">
      <c r="A242" s="47">
        <v>43811</v>
      </c>
      <c r="B242" s="48" t="s">
        <v>127</v>
      </c>
      <c r="C242" s="49" t="s">
        <v>16</v>
      </c>
      <c r="D242" s="49">
        <v>240</v>
      </c>
      <c r="E242" s="50">
        <v>800</v>
      </c>
      <c r="F242" s="48" t="s">
        <v>15</v>
      </c>
      <c r="G242" s="51">
        <v>45.5</v>
      </c>
      <c r="H242" s="51">
        <v>51.5</v>
      </c>
      <c r="I242" s="51">
        <v>58.5</v>
      </c>
      <c r="J242" s="52">
        <f t="shared" ref="J242" si="642">(IF(F242="SELL",G242-H242,IF(F242="BUY",H242-G242)))*E242</f>
        <v>4800</v>
      </c>
      <c r="K242" s="52">
        <f>E242*7</f>
        <v>5600</v>
      </c>
      <c r="L242" s="53">
        <f t="shared" ref="L242" si="643">(K242+J242)/E242</f>
        <v>13</v>
      </c>
      <c r="M242" s="53">
        <f t="shared" ref="M242" si="644">L242*E242</f>
        <v>10400</v>
      </c>
    </row>
    <row r="243" spans="1:13" ht="15" customHeight="1">
      <c r="A243" s="47">
        <v>43810</v>
      </c>
      <c r="B243" s="48" t="s">
        <v>149</v>
      </c>
      <c r="C243" s="49" t="s">
        <v>14</v>
      </c>
      <c r="D243" s="49">
        <v>105</v>
      </c>
      <c r="E243" s="50">
        <v>4500</v>
      </c>
      <c r="F243" s="48" t="s">
        <v>15</v>
      </c>
      <c r="G243" s="51">
        <v>10.8</v>
      </c>
      <c r="H243" s="51">
        <v>8.8000000000000007</v>
      </c>
      <c r="I243" s="51">
        <v>0</v>
      </c>
      <c r="J243" s="52">
        <f t="shared" ref="J243" si="645">(IF(F243="SELL",G243-H243,IF(F243="BUY",H243-G243)))*E243</f>
        <v>-9000</v>
      </c>
      <c r="K243" s="52">
        <v>0</v>
      </c>
      <c r="L243" s="53">
        <f t="shared" ref="L243" si="646">(K243+J243)/E243</f>
        <v>-2</v>
      </c>
      <c r="M243" s="53">
        <f t="shared" ref="M243" si="647">L243*E243</f>
        <v>-9000</v>
      </c>
    </row>
    <row r="244" spans="1:13" ht="15" customHeight="1">
      <c r="A244" s="47">
        <v>43809</v>
      </c>
      <c r="B244" s="48" t="s">
        <v>137</v>
      </c>
      <c r="C244" s="49" t="s">
        <v>14</v>
      </c>
      <c r="D244" s="49">
        <v>50</v>
      </c>
      <c r="E244" s="50">
        <v>7000</v>
      </c>
      <c r="F244" s="48" t="s">
        <v>15</v>
      </c>
      <c r="G244" s="51">
        <v>5</v>
      </c>
      <c r="H244" s="51">
        <v>5.95</v>
      </c>
      <c r="I244" s="51">
        <v>0</v>
      </c>
      <c r="J244" s="52">
        <f t="shared" ref="J244" si="648">(IF(F244="SELL",G244-H244,IF(F244="BUY",H244-G244)))*E244</f>
        <v>6650.0000000000009</v>
      </c>
      <c r="K244" s="52">
        <v>0</v>
      </c>
      <c r="L244" s="53">
        <f t="shared" ref="L244" si="649">(K244+J244)/E244</f>
        <v>0.95000000000000018</v>
      </c>
      <c r="M244" s="53">
        <f t="shared" ref="M244" si="650">L244*E244</f>
        <v>6650.0000000000009</v>
      </c>
    </row>
    <row r="245" spans="1:13" ht="15" customHeight="1">
      <c r="A245" s="47">
        <v>43805</v>
      </c>
      <c r="B245" s="48" t="s">
        <v>119</v>
      </c>
      <c r="C245" s="49" t="s">
        <v>16</v>
      </c>
      <c r="D245" s="49">
        <v>130</v>
      </c>
      <c r="E245" s="50">
        <v>5334</v>
      </c>
      <c r="F245" s="48" t="s">
        <v>15</v>
      </c>
      <c r="G245" s="51">
        <v>10.5</v>
      </c>
      <c r="H245" s="51">
        <v>12.5</v>
      </c>
      <c r="I245" s="51">
        <v>14.15</v>
      </c>
      <c r="J245" s="52">
        <f t="shared" ref="J245:J246" si="651">(IF(F245="SELL",G245-H245,IF(F245="BUY",H245-G245)))*E245</f>
        <v>10668</v>
      </c>
      <c r="K245" s="52">
        <f>E245*1.65</f>
        <v>8801.1</v>
      </c>
      <c r="L245" s="53">
        <f t="shared" ref="L245:L246" si="652">(K245+J245)/E245</f>
        <v>3.65</v>
      </c>
      <c r="M245" s="53">
        <f t="shared" ref="M245:M246" si="653">L245*E245</f>
        <v>19469.099999999999</v>
      </c>
    </row>
    <row r="246" spans="1:13" ht="15" customHeight="1">
      <c r="A246" s="47">
        <v>43803</v>
      </c>
      <c r="B246" s="48" t="s">
        <v>150</v>
      </c>
      <c r="C246" s="49" t="s">
        <v>16</v>
      </c>
      <c r="D246" s="49">
        <v>1640</v>
      </c>
      <c r="E246" s="50">
        <v>400</v>
      </c>
      <c r="F246" s="48" t="s">
        <v>15</v>
      </c>
      <c r="G246" s="51">
        <v>45</v>
      </c>
      <c r="H246" s="51">
        <v>59.9</v>
      </c>
      <c r="I246" s="51">
        <v>0</v>
      </c>
      <c r="J246" s="52">
        <f t="shared" si="651"/>
        <v>5959.9999999999991</v>
      </c>
      <c r="K246" s="52">
        <v>0</v>
      </c>
      <c r="L246" s="53">
        <f t="shared" si="652"/>
        <v>14.899999999999999</v>
      </c>
      <c r="M246" s="53">
        <f t="shared" si="653"/>
        <v>5959.9999999999991</v>
      </c>
    </row>
    <row r="247" spans="1:13" ht="15" customHeight="1">
      <c r="A247" s="47">
        <v>43803</v>
      </c>
      <c r="B247" s="48" t="s">
        <v>127</v>
      </c>
      <c r="C247" s="49" t="s">
        <v>14</v>
      </c>
      <c r="D247" s="49">
        <v>340</v>
      </c>
      <c r="E247" s="50">
        <v>800</v>
      </c>
      <c r="F247" s="48" t="s">
        <v>15</v>
      </c>
      <c r="G247" s="51">
        <v>69</v>
      </c>
      <c r="H247" s="51">
        <v>77</v>
      </c>
      <c r="I247" s="51">
        <v>0</v>
      </c>
      <c r="J247" s="52">
        <f t="shared" ref="J247" si="654">(IF(F247="SELL",G247-H247,IF(F247="BUY",H247-G247)))*E247</f>
        <v>6400</v>
      </c>
      <c r="K247" s="52">
        <v>0</v>
      </c>
      <c r="L247" s="53">
        <f t="shared" ref="L247" si="655">(K247+J247)/E247</f>
        <v>8</v>
      </c>
      <c r="M247" s="53">
        <f t="shared" ref="M247" si="656">L247*E247</f>
        <v>6400</v>
      </c>
    </row>
    <row r="248" spans="1:13" ht="15" customHeight="1">
      <c r="A248" s="47">
        <v>43802</v>
      </c>
      <c r="B248" s="48" t="s">
        <v>100</v>
      </c>
      <c r="C248" s="49" t="s">
        <v>16</v>
      </c>
      <c r="D248" s="49">
        <v>230</v>
      </c>
      <c r="E248" s="50">
        <v>2400</v>
      </c>
      <c r="F248" s="48" t="s">
        <v>15</v>
      </c>
      <c r="G248" s="51">
        <v>10.199999999999999</v>
      </c>
      <c r="H248" s="51">
        <v>11</v>
      </c>
      <c r="I248" s="51">
        <v>0</v>
      </c>
      <c r="J248" s="52">
        <f t="shared" ref="J248" si="657">(IF(F248="SELL",G248-H248,IF(F248="BUY",H248-G248)))*E248</f>
        <v>1920.0000000000018</v>
      </c>
      <c r="K248" s="52">
        <v>0</v>
      </c>
      <c r="L248" s="53">
        <f t="shared" ref="L248" si="658">(K248+J248)/E248</f>
        <v>0.80000000000000071</v>
      </c>
      <c r="M248" s="53">
        <f t="shared" ref="M248" si="659">L248*E248</f>
        <v>1920.0000000000018</v>
      </c>
    </row>
    <row r="249" spans="1:13" ht="15" customHeight="1">
      <c r="A249" s="47">
        <v>43798</v>
      </c>
      <c r="B249" s="48" t="s">
        <v>114</v>
      </c>
      <c r="C249" s="49" t="s">
        <v>16</v>
      </c>
      <c r="D249" s="49">
        <v>230</v>
      </c>
      <c r="E249" s="50">
        <v>4000</v>
      </c>
      <c r="F249" s="48" t="s">
        <v>15</v>
      </c>
      <c r="G249" s="51">
        <v>9</v>
      </c>
      <c r="H249" s="51">
        <v>7</v>
      </c>
      <c r="I249" s="51">
        <v>0</v>
      </c>
      <c r="J249" s="52">
        <f t="shared" ref="J249" si="660">(IF(F249="SELL",G249-H249,IF(F249="BUY",H249-G249)))*E249</f>
        <v>-8000</v>
      </c>
      <c r="K249" s="52">
        <v>0</v>
      </c>
      <c r="L249" s="53">
        <f t="shared" ref="L249" si="661">(K249+J249)/E249</f>
        <v>-2</v>
      </c>
      <c r="M249" s="53">
        <f t="shared" ref="M249" si="662">L249*E249</f>
        <v>-8000</v>
      </c>
    </row>
    <row r="250" spans="1:13" ht="15" customHeight="1">
      <c r="A250" s="47">
        <v>43797</v>
      </c>
      <c r="B250" s="48" t="s">
        <v>93</v>
      </c>
      <c r="C250" s="49" t="s">
        <v>16</v>
      </c>
      <c r="D250" s="49">
        <v>60</v>
      </c>
      <c r="E250" s="50">
        <v>8000</v>
      </c>
      <c r="F250" s="48" t="s">
        <v>15</v>
      </c>
      <c r="G250" s="51">
        <v>3</v>
      </c>
      <c r="H250" s="51">
        <v>3.7</v>
      </c>
      <c r="I250" s="51">
        <v>0</v>
      </c>
      <c r="J250" s="52">
        <f t="shared" ref="J250" si="663">(IF(F250="SELL",G250-H250,IF(F250="BUY",H250-G250)))*E250</f>
        <v>5600.0000000000018</v>
      </c>
      <c r="K250" s="52">
        <v>0</v>
      </c>
      <c r="L250" s="53">
        <f t="shared" ref="L250" si="664">(K250+J250)/E250</f>
        <v>0.70000000000000018</v>
      </c>
      <c r="M250" s="53">
        <f t="shared" ref="M250" si="665">L250*E250</f>
        <v>5600.0000000000018</v>
      </c>
    </row>
    <row r="251" spans="1:13" ht="15" customHeight="1">
      <c r="A251" s="47">
        <v>43796</v>
      </c>
      <c r="B251" s="48" t="s">
        <v>93</v>
      </c>
      <c r="C251" s="49" t="s">
        <v>14</v>
      </c>
      <c r="D251" s="49">
        <v>60</v>
      </c>
      <c r="E251" s="50">
        <v>8000</v>
      </c>
      <c r="F251" s="48" t="s">
        <v>15</v>
      </c>
      <c r="G251" s="51">
        <v>2</v>
      </c>
      <c r="H251" s="51">
        <v>2.8</v>
      </c>
      <c r="I251" s="51">
        <v>0</v>
      </c>
      <c r="J251" s="52">
        <f t="shared" ref="J251" si="666">(IF(F251="SELL",G251-H251,IF(F251="BUY",H251-G251)))*E251</f>
        <v>6399.9999999999982</v>
      </c>
      <c r="K251" s="52">
        <v>0</v>
      </c>
      <c r="L251" s="53">
        <f t="shared" ref="L251" si="667">(K251+J251)/E251</f>
        <v>0.79999999999999982</v>
      </c>
      <c r="M251" s="53">
        <f t="shared" ref="M251" si="668">L251*E251</f>
        <v>6399.9999999999982</v>
      </c>
    </row>
    <row r="252" spans="1:13" ht="15" customHeight="1">
      <c r="A252" s="47">
        <v>43796</v>
      </c>
      <c r="B252" s="48" t="s">
        <v>72</v>
      </c>
      <c r="C252" s="49" t="s">
        <v>16</v>
      </c>
      <c r="D252" s="49">
        <v>500</v>
      </c>
      <c r="E252" s="50">
        <v>1800</v>
      </c>
      <c r="F252" s="48" t="s">
        <v>15</v>
      </c>
      <c r="G252" s="51">
        <v>5.5</v>
      </c>
      <c r="H252" s="51">
        <v>9</v>
      </c>
      <c r="I252" s="51">
        <v>0</v>
      </c>
      <c r="J252" s="52">
        <f t="shared" ref="J252" si="669">(IF(F252="SELL",G252-H252,IF(F252="BUY",H252-G252)))*E252</f>
        <v>6300</v>
      </c>
      <c r="K252" s="52">
        <v>0</v>
      </c>
      <c r="L252" s="53">
        <f t="shared" ref="L252" si="670">(K252+J252)/E252</f>
        <v>3.5</v>
      </c>
      <c r="M252" s="53">
        <f t="shared" ref="M252" si="671">L252*E252</f>
        <v>6300</v>
      </c>
    </row>
    <row r="253" spans="1:13" ht="15" customHeight="1">
      <c r="A253" s="47">
        <v>43795</v>
      </c>
      <c r="B253" s="48" t="s">
        <v>149</v>
      </c>
      <c r="C253" s="49" t="s">
        <v>16</v>
      </c>
      <c r="D253" s="49">
        <v>95</v>
      </c>
      <c r="E253" s="50">
        <v>4500</v>
      </c>
      <c r="F253" s="48" t="s">
        <v>15</v>
      </c>
      <c r="G253" s="51">
        <v>8</v>
      </c>
      <c r="H253" s="51">
        <v>6</v>
      </c>
      <c r="I253" s="51">
        <v>0</v>
      </c>
      <c r="J253" s="52">
        <f t="shared" ref="J253" si="672">(IF(F253="SELL",G253-H253,IF(F253="BUY",H253-G253)))*E253</f>
        <v>-9000</v>
      </c>
      <c r="K253" s="52">
        <v>0</v>
      </c>
      <c r="L253" s="53">
        <f t="shared" ref="L253" si="673">(K253+J253)/E253</f>
        <v>-2</v>
      </c>
      <c r="M253" s="53">
        <f t="shared" ref="M253" si="674">L253*E253</f>
        <v>-9000</v>
      </c>
    </row>
    <row r="254" spans="1:13" ht="15" customHeight="1">
      <c r="A254" s="47">
        <v>43794</v>
      </c>
      <c r="B254" s="48" t="s">
        <v>29</v>
      </c>
      <c r="C254" s="49" t="s">
        <v>16</v>
      </c>
      <c r="D254" s="49">
        <v>140</v>
      </c>
      <c r="E254" s="50">
        <v>3200</v>
      </c>
      <c r="F254" s="48" t="s">
        <v>15</v>
      </c>
      <c r="G254" s="51">
        <v>12.5</v>
      </c>
      <c r="H254" s="51">
        <v>15.5</v>
      </c>
      <c r="I254" s="51">
        <v>0</v>
      </c>
      <c r="J254" s="52">
        <f t="shared" ref="J254:J255" si="675">(IF(F254="SELL",G254-H254,IF(F254="BUY",H254-G254)))*E254</f>
        <v>9600</v>
      </c>
      <c r="K254" s="52">
        <v>0</v>
      </c>
      <c r="L254" s="53">
        <f t="shared" ref="L254:L255" si="676">(K254+J254)/E254</f>
        <v>3</v>
      </c>
      <c r="M254" s="53">
        <f t="shared" ref="M254:M255" si="677">L254*E254</f>
        <v>9600</v>
      </c>
    </row>
    <row r="255" spans="1:13" ht="15" customHeight="1">
      <c r="A255" s="47">
        <v>43791</v>
      </c>
      <c r="B255" s="48" t="s">
        <v>127</v>
      </c>
      <c r="C255" s="49" t="s">
        <v>14</v>
      </c>
      <c r="D255" s="49">
        <v>260</v>
      </c>
      <c r="E255" s="50">
        <v>800</v>
      </c>
      <c r="F255" s="48" t="s">
        <v>15</v>
      </c>
      <c r="G255" s="51">
        <v>34.5</v>
      </c>
      <c r="H255" s="51">
        <v>26.5</v>
      </c>
      <c r="I255" s="51">
        <v>0</v>
      </c>
      <c r="J255" s="52">
        <f t="shared" si="675"/>
        <v>-6400</v>
      </c>
      <c r="K255" s="52">
        <v>0</v>
      </c>
      <c r="L255" s="53">
        <f t="shared" si="676"/>
        <v>-8</v>
      </c>
      <c r="M255" s="53">
        <f t="shared" si="677"/>
        <v>-6400</v>
      </c>
    </row>
    <row r="256" spans="1:13" ht="15" customHeight="1">
      <c r="A256" s="47">
        <v>43790</v>
      </c>
      <c r="B256" s="48" t="s">
        <v>148</v>
      </c>
      <c r="C256" s="49" t="s">
        <v>16</v>
      </c>
      <c r="D256" s="49">
        <v>460</v>
      </c>
      <c r="E256" s="50">
        <v>1375</v>
      </c>
      <c r="F256" s="48" t="s">
        <v>15</v>
      </c>
      <c r="G256" s="51">
        <v>40</v>
      </c>
      <c r="H256" s="51">
        <v>41</v>
      </c>
      <c r="I256" s="51">
        <v>0</v>
      </c>
      <c r="J256" s="52">
        <f t="shared" ref="J256" si="678">(IF(F256="SELL",G256-H256,IF(F256="BUY",H256-G256)))*E256</f>
        <v>1375</v>
      </c>
      <c r="K256" s="52">
        <v>0</v>
      </c>
      <c r="L256" s="53">
        <f t="shared" ref="L256" si="679">(K256+J256)/E256</f>
        <v>1</v>
      </c>
      <c r="M256" s="53">
        <f t="shared" ref="M256" si="680">L256*E256</f>
        <v>1375</v>
      </c>
    </row>
    <row r="257" spans="1:13" ht="15" customHeight="1">
      <c r="A257" s="47">
        <v>43788</v>
      </c>
      <c r="B257" s="48" t="s">
        <v>84</v>
      </c>
      <c r="C257" s="49" t="s">
        <v>16</v>
      </c>
      <c r="D257" s="49">
        <v>330</v>
      </c>
      <c r="E257" s="50">
        <v>3000</v>
      </c>
      <c r="F257" s="48" t="s">
        <v>15</v>
      </c>
      <c r="G257" s="51">
        <v>9.1999999999999993</v>
      </c>
      <c r="H257" s="51">
        <v>6.2</v>
      </c>
      <c r="I257" s="51">
        <v>0</v>
      </c>
      <c r="J257" s="52">
        <f t="shared" ref="J257" si="681">(IF(F257="SELL",G257-H257,IF(F257="BUY",H257-G257)))*E257</f>
        <v>-8999.9999999999982</v>
      </c>
      <c r="K257" s="52">
        <v>0</v>
      </c>
      <c r="L257" s="53">
        <f t="shared" ref="L257" si="682">(K257+J257)/E257</f>
        <v>-2.9999999999999996</v>
      </c>
      <c r="M257" s="53">
        <f t="shared" ref="M257" si="683">L257*E257</f>
        <v>-8999.9999999999982</v>
      </c>
    </row>
    <row r="258" spans="1:13" ht="15" customHeight="1">
      <c r="A258" s="47">
        <v>43787</v>
      </c>
      <c r="B258" s="48" t="s">
        <v>147</v>
      </c>
      <c r="C258" s="49" t="s">
        <v>16</v>
      </c>
      <c r="D258" s="49">
        <v>200</v>
      </c>
      <c r="E258" s="50">
        <v>2750</v>
      </c>
      <c r="F258" s="48" t="s">
        <v>15</v>
      </c>
      <c r="G258" s="51">
        <v>18</v>
      </c>
      <c r="H258" s="51">
        <v>19.5</v>
      </c>
      <c r="I258" s="51">
        <v>0</v>
      </c>
      <c r="J258" s="52">
        <f t="shared" ref="J258" si="684">(IF(F258="SELL",G258-H258,IF(F258="BUY",H258-G258)))*E258</f>
        <v>4125</v>
      </c>
      <c r="K258" s="52">
        <v>0</v>
      </c>
      <c r="L258" s="53">
        <f t="shared" ref="L258" si="685">(K258+J258)/E258</f>
        <v>1.5</v>
      </c>
      <c r="M258" s="53">
        <f t="shared" ref="M258" si="686">L258*E258</f>
        <v>4125</v>
      </c>
    </row>
    <row r="259" spans="1:13" ht="15" customHeight="1">
      <c r="A259" s="47">
        <v>43784</v>
      </c>
      <c r="B259" s="48" t="s">
        <v>146</v>
      </c>
      <c r="C259" s="49" t="s">
        <v>16</v>
      </c>
      <c r="D259" s="49">
        <v>1200</v>
      </c>
      <c r="E259" s="50">
        <v>500</v>
      </c>
      <c r="F259" s="48" t="s">
        <v>15</v>
      </c>
      <c r="G259" s="51">
        <v>75</v>
      </c>
      <c r="H259" s="51">
        <v>87</v>
      </c>
      <c r="I259" s="51">
        <v>0</v>
      </c>
      <c r="J259" s="52">
        <f t="shared" ref="J259" si="687">(IF(F259="SELL",G259-H259,IF(F259="BUY",H259-G259)))*E259</f>
        <v>6000</v>
      </c>
      <c r="K259" s="52">
        <v>0</v>
      </c>
      <c r="L259" s="53">
        <f t="shared" ref="L259" si="688">(K259+J259)/E259</f>
        <v>12</v>
      </c>
      <c r="M259" s="53">
        <f t="shared" ref="M259" si="689">L259*E259</f>
        <v>6000</v>
      </c>
    </row>
    <row r="260" spans="1:13" ht="15" customHeight="1">
      <c r="A260" s="47">
        <v>43783</v>
      </c>
      <c r="B260" s="48" t="s">
        <v>119</v>
      </c>
      <c r="C260" s="49" t="s">
        <v>14</v>
      </c>
      <c r="D260" s="49">
        <v>120</v>
      </c>
      <c r="E260" s="50">
        <v>5534</v>
      </c>
      <c r="F260" s="48" t="s">
        <v>15</v>
      </c>
      <c r="G260" s="51">
        <v>5.4</v>
      </c>
      <c r="H260" s="51">
        <v>6.5</v>
      </c>
      <c r="I260" s="51">
        <v>0</v>
      </c>
      <c r="J260" s="52">
        <f t="shared" ref="J260" si="690">(IF(F260="SELL",G260-H260,IF(F260="BUY",H260-G260)))*E260</f>
        <v>6087.3999999999978</v>
      </c>
      <c r="K260" s="52">
        <v>0</v>
      </c>
      <c r="L260" s="53">
        <f t="shared" ref="L260" si="691">(K260+J260)/E260</f>
        <v>1.0999999999999996</v>
      </c>
      <c r="M260" s="53">
        <f t="shared" ref="M260" si="692">L260*E260</f>
        <v>6087.3999999999978</v>
      </c>
    </row>
    <row r="261" spans="1:13" ht="15" customHeight="1">
      <c r="A261" s="47">
        <v>43782</v>
      </c>
      <c r="B261" s="48" t="s">
        <v>145</v>
      </c>
      <c r="C261" s="49" t="s">
        <v>123</v>
      </c>
      <c r="D261" s="49">
        <v>300</v>
      </c>
      <c r="E261" s="50">
        <v>2100</v>
      </c>
      <c r="F261" s="48" t="s">
        <v>15</v>
      </c>
      <c r="G261" s="51">
        <v>14.5</v>
      </c>
      <c r="H261" s="51">
        <v>17.5</v>
      </c>
      <c r="I261" s="51">
        <v>0</v>
      </c>
      <c r="J261" s="52">
        <f t="shared" ref="J261" si="693">(IF(F261="SELL",G261-H261,IF(F261="BUY",H261-G261)))*E261</f>
        <v>6300</v>
      </c>
      <c r="K261" s="52">
        <v>0</v>
      </c>
      <c r="L261" s="53">
        <f t="shared" ref="L261" si="694">(K261+J261)/E261</f>
        <v>3</v>
      </c>
      <c r="M261" s="53">
        <f t="shared" ref="M261" si="695">L261*E261</f>
        <v>6300</v>
      </c>
    </row>
    <row r="262" spans="1:13" ht="15" customHeight="1">
      <c r="A262" s="47">
        <v>43780</v>
      </c>
      <c r="B262" s="48" t="s">
        <v>144</v>
      </c>
      <c r="C262" s="49" t="s">
        <v>16</v>
      </c>
      <c r="D262" s="49">
        <v>500</v>
      </c>
      <c r="E262" s="50">
        <v>1500</v>
      </c>
      <c r="F262" s="48" t="s">
        <v>15</v>
      </c>
      <c r="G262" s="51">
        <v>29</v>
      </c>
      <c r="H262" s="51">
        <v>34</v>
      </c>
      <c r="I262" s="51">
        <v>0</v>
      </c>
      <c r="J262" s="52">
        <f t="shared" ref="J262" si="696">(IF(F262="SELL",G262-H262,IF(F262="BUY",H262-G262)))*E262</f>
        <v>7500</v>
      </c>
      <c r="K262" s="52">
        <v>0</v>
      </c>
      <c r="L262" s="53">
        <f t="shared" ref="L262" si="697">(K262+J262)/E262</f>
        <v>5</v>
      </c>
      <c r="M262" s="53">
        <f t="shared" ref="M262" si="698">L262*E262</f>
        <v>7500</v>
      </c>
    </row>
    <row r="263" spans="1:13" ht="15" customHeight="1">
      <c r="A263" s="47">
        <v>43777</v>
      </c>
      <c r="B263" s="48" t="s">
        <v>127</v>
      </c>
      <c r="C263" s="49" t="s">
        <v>16</v>
      </c>
      <c r="D263" s="49">
        <v>210</v>
      </c>
      <c r="E263" s="50">
        <v>800</v>
      </c>
      <c r="F263" s="48" t="s">
        <v>15</v>
      </c>
      <c r="G263" s="51">
        <v>43</v>
      </c>
      <c r="H263" s="51">
        <v>53</v>
      </c>
      <c r="I263" s="51">
        <v>0</v>
      </c>
      <c r="J263" s="52">
        <f t="shared" ref="J263:J264" si="699">(IF(F263="SELL",G263-H263,IF(F263="BUY",H263-G263)))*E263</f>
        <v>8000</v>
      </c>
      <c r="K263" s="52">
        <v>0</v>
      </c>
      <c r="L263" s="53">
        <f t="shared" ref="L263:L264" si="700">(K263+J263)/E263</f>
        <v>10</v>
      </c>
      <c r="M263" s="53">
        <f t="shared" ref="M263:M264" si="701">L263*E263</f>
        <v>8000</v>
      </c>
    </row>
    <row r="264" spans="1:13" ht="15" customHeight="1">
      <c r="A264" s="47">
        <v>43776</v>
      </c>
      <c r="B264" s="48" t="s">
        <v>143</v>
      </c>
      <c r="C264" s="49" t="s">
        <v>16</v>
      </c>
      <c r="D264" s="49">
        <v>1620</v>
      </c>
      <c r="E264" s="50">
        <v>500</v>
      </c>
      <c r="F264" s="48" t="s">
        <v>15</v>
      </c>
      <c r="G264" s="51">
        <v>53</v>
      </c>
      <c r="H264" s="51">
        <v>57</v>
      </c>
      <c r="I264" s="51">
        <v>0</v>
      </c>
      <c r="J264" s="52">
        <f t="shared" si="699"/>
        <v>2000</v>
      </c>
      <c r="K264" s="52">
        <v>0</v>
      </c>
      <c r="L264" s="53">
        <f t="shared" si="700"/>
        <v>4</v>
      </c>
      <c r="M264" s="53">
        <f t="shared" si="701"/>
        <v>2000</v>
      </c>
    </row>
    <row r="265" spans="1:13" ht="15" customHeight="1">
      <c r="A265" s="47">
        <v>43775</v>
      </c>
      <c r="B265" s="48" t="s">
        <v>142</v>
      </c>
      <c r="C265" s="49" t="s">
        <v>16</v>
      </c>
      <c r="D265" s="49">
        <v>1200</v>
      </c>
      <c r="E265" s="50">
        <v>500</v>
      </c>
      <c r="F265" s="48" t="s">
        <v>15</v>
      </c>
      <c r="G265" s="51">
        <v>59</v>
      </c>
      <c r="H265" s="51">
        <v>67</v>
      </c>
      <c r="I265" s="51">
        <v>0</v>
      </c>
      <c r="J265" s="52">
        <f t="shared" ref="J265:J268" si="702">(IF(F265="SELL",G265-H265,IF(F265="BUY",H265-G265)))*E265</f>
        <v>4000</v>
      </c>
      <c r="K265" s="52">
        <v>0</v>
      </c>
      <c r="L265" s="53">
        <f t="shared" ref="L265:L268" si="703">(K265+J265)/E265</f>
        <v>8</v>
      </c>
      <c r="M265" s="53">
        <f t="shared" ref="M265:M268" si="704">L265*E265</f>
        <v>4000</v>
      </c>
    </row>
    <row r="266" spans="1:13" ht="15" customHeight="1">
      <c r="A266" s="47">
        <v>43774</v>
      </c>
      <c r="B266" s="48" t="s">
        <v>125</v>
      </c>
      <c r="C266" s="49" t="s">
        <v>16</v>
      </c>
      <c r="D266" s="49">
        <v>320</v>
      </c>
      <c r="E266" s="50">
        <v>2700</v>
      </c>
      <c r="F266" s="48" t="s">
        <v>15</v>
      </c>
      <c r="G266" s="51">
        <v>8</v>
      </c>
      <c r="H266" s="51">
        <v>4.8</v>
      </c>
      <c r="I266" s="51">
        <v>0</v>
      </c>
      <c r="J266" s="52">
        <f t="shared" ref="J266:J267" si="705">(IF(F266="SELL",G266-H266,IF(F266="BUY",H266-G266)))*E266</f>
        <v>-8640</v>
      </c>
      <c r="K266" s="52">
        <v>0</v>
      </c>
      <c r="L266" s="53">
        <f t="shared" ref="L266:L267" si="706">(K266+J266)/E266</f>
        <v>-3.2</v>
      </c>
      <c r="M266" s="53">
        <f t="shared" ref="M266:M267" si="707">L266*E266</f>
        <v>-8640</v>
      </c>
    </row>
    <row r="267" spans="1:13" ht="15" customHeight="1">
      <c r="A267" s="47">
        <v>43773</v>
      </c>
      <c r="B267" s="48" t="s">
        <v>75</v>
      </c>
      <c r="C267" s="49" t="s">
        <v>16</v>
      </c>
      <c r="D267" s="49">
        <v>1580</v>
      </c>
      <c r="E267" s="50">
        <v>500</v>
      </c>
      <c r="F267" s="48" t="s">
        <v>15</v>
      </c>
      <c r="G267" s="51">
        <v>62</v>
      </c>
      <c r="H267" s="51">
        <v>45</v>
      </c>
      <c r="I267" s="51">
        <v>0</v>
      </c>
      <c r="J267" s="52">
        <f t="shared" si="705"/>
        <v>-8500</v>
      </c>
      <c r="K267" s="52">
        <v>0</v>
      </c>
      <c r="L267" s="53">
        <f t="shared" si="706"/>
        <v>-17</v>
      </c>
      <c r="M267" s="53">
        <f t="shared" si="707"/>
        <v>-8500</v>
      </c>
    </row>
    <row r="268" spans="1:13" ht="15" customHeight="1">
      <c r="A268" s="47">
        <v>43770</v>
      </c>
      <c r="B268" s="48" t="s">
        <v>122</v>
      </c>
      <c r="C268" s="49" t="s">
        <v>14</v>
      </c>
      <c r="D268" s="49">
        <v>80</v>
      </c>
      <c r="E268" s="50">
        <v>6000</v>
      </c>
      <c r="F268" s="48" t="s">
        <v>15</v>
      </c>
      <c r="G268" s="51">
        <v>7.2</v>
      </c>
      <c r="H268" s="51">
        <v>8.1999999999999993</v>
      </c>
      <c r="I268" s="51">
        <v>0</v>
      </c>
      <c r="J268" s="52">
        <f t="shared" si="702"/>
        <v>5999.9999999999945</v>
      </c>
      <c r="K268" s="52">
        <v>0</v>
      </c>
      <c r="L268" s="53">
        <f t="shared" si="703"/>
        <v>0.99999999999999911</v>
      </c>
      <c r="M268" s="53">
        <f t="shared" si="704"/>
        <v>5999.9999999999945</v>
      </c>
    </row>
    <row r="269" spans="1:13" ht="15" customHeight="1">
      <c r="A269" s="47">
        <v>43770</v>
      </c>
      <c r="B269" s="48" t="s">
        <v>122</v>
      </c>
      <c r="C269" s="49" t="s">
        <v>14</v>
      </c>
      <c r="D269" s="49">
        <v>80</v>
      </c>
      <c r="E269" s="50">
        <v>6000</v>
      </c>
      <c r="F269" s="48" t="s">
        <v>15</v>
      </c>
      <c r="G269" s="51">
        <v>7.2</v>
      </c>
      <c r="H269" s="51">
        <v>8.1999999999999993</v>
      </c>
      <c r="I269" s="51">
        <v>0</v>
      </c>
      <c r="J269" s="52">
        <f t="shared" ref="J269" si="708">(IF(F269="SELL",G269-H269,IF(F269="BUY",H269-G269)))*E269</f>
        <v>5999.9999999999945</v>
      </c>
      <c r="K269" s="52">
        <v>0</v>
      </c>
      <c r="L269" s="53">
        <f t="shared" ref="L269" si="709">(K269+J269)/E269</f>
        <v>0.99999999999999911</v>
      </c>
      <c r="M269" s="53">
        <f t="shared" ref="M269" si="710">L269*E269</f>
        <v>5999.9999999999945</v>
      </c>
    </row>
    <row r="270" spans="1:13" ht="15" customHeight="1">
      <c r="A270" s="47">
        <v>43769</v>
      </c>
      <c r="B270" s="48" t="s">
        <v>99</v>
      </c>
      <c r="C270" s="49" t="s">
        <v>16</v>
      </c>
      <c r="D270" s="49">
        <v>1140</v>
      </c>
      <c r="E270" s="50">
        <v>700</v>
      </c>
      <c r="F270" s="48" t="s">
        <v>15</v>
      </c>
      <c r="G270" s="51">
        <v>44</v>
      </c>
      <c r="H270" s="51">
        <v>49</v>
      </c>
      <c r="I270" s="51">
        <v>0</v>
      </c>
      <c r="J270" s="52">
        <f t="shared" ref="J270" si="711">(IF(F270="SELL",G270-H270,IF(F270="BUY",H270-G270)))*E270</f>
        <v>3500</v>
      </c>
      <c r="K270" s="52">
        <v>0</v>
      </c>
      <c r="L270" s="53">
        <f t="shared" ref="L270" si="712">(K270+J270)/E270</f>
        <v>5</v>
      </c>
      <c r="M270" s="53">
        <f t="shared" ref="M270" si="713">L270*E270</f>
        <v>3500</v>
      </c>
    </row>
    <row r="271" spans="1:13" ht="15" customHeight="1">
      <c r="A271" s="47">
        <v>43767</v>
      </c>
      <c r="B271" s="48" t="s">
        <v>141</v>
      </c>
      <c r="C271" s="49" t="s">
        <v>16</v>
      </c>
      <c r="D271" s="49">
        <v>3150</v>
      </c>
      <c r="E271" s="50">
        <v>250</v>
      </c>
      <c r="F271" s="48" t="s">
        <v>15</v>
      </c>
      <c r="G271" s="51">
        <v>50</v>
      </c>
      <c r="H271" s="51">
        <v>80</v>
      </c>
      <c r="I271" s="51">
        <v>0</v>
      </c>
      <c r="J271" s="52">
        <f t="shared" ref="J271" si="714">(IF(F271="SELL",G271-H271,IF(F271="BUY",H271-G271)))*E271</f>
        <v>7500</v>
      </c>
      <c r="K271" s="52">
        <v>0</v>
      </c>
      <c r="L271" s="53">
        <f t="shared" ref="L271" si="715">(K271+J271)/E271</f>
        <v>30</v>
      </c>
      <c r="M271" s="53">
        <f t="shared" ref="M271" si="716">L271*E271</f>
        <v>7500</v>
      </c>
    </row>
    <row r="272" spans="1:13" ht="15" customHeight="1">
      <c r="A272" s="47">
        <v>43762</v>
      </c>
      <c r="B272" s="48" t="s">
        <v>140</v>
      </c>
      <c r="C272" s="49" t="s">
        <v>14</v>
      </c>
      <c r="D272" s="49">
        <v>230</v>
      </c>
      <c r="E272" s="50">
        <v>2000</v>
      </c>
      <c r="F272" s="48" t="s">
        <v>15</v>
      </c>
      <c r="G272" s="51">
        <v>5</v>
      </c>
      <c r="H272" s="51">
        <v>8</v>
      </c>
      <c r="I272" s="51">
        <v>12</v>
      </c>
      <c r="J272" s="52">
        <f t="shared" ref="J272" si="717">(IF(F272="SELL",G272-H272,IF(F272="BUY",H272-G272)))*E272</f>
        <v>6000</v>
      </c>
      <c r="K272" s="52">
        <f>E272*4</f>
        <v>8000</v>
      </c>
      <c r="L272" s="53">
        <f t="shared" ref="L272" si="718">(K272+J272)/E272</f>
        <v>7</v>
      </c>
      <c r="M272" s="53">
        <f t="shared" ref="M272" si="719">L272*E272</f>
        <v>14000</v>
      </c>
    </row>
    <row r="273" spans="1:13" ht="15" customHeight="1">
      <c r="A273" s="47">
        <v>43761</v>
      </c>
      <c r="B273" s="48" t="s">
        <v>82</v>
      </c>
      <c r="C273" s="49" t="s">
        <v>16</v>
      </c>
      <c r="D273" s="49">
        <v>430</v>
      </c>
      <c r="E273" s="50">
        <v>1375</v>
      </c>
      <c r="F273" s="48" t="s">
        <v>15</v>
      </c>
      <c r="G273" s="51">
        <v>30</v>
      </c>
      <c r="H273" s="51">
        <v>37</v>
      </c>
      <c r="I273" s="51">
        <v>0</v>
      </c>
      <c r="J273" s="52">
        <f t="shared" ref="J273" si="720">(IF(F273="SELL",G273-H273,IF(F273="BUY",H273-G273)))*E273</f>
        <v>9625</v>
      </c>
      <c r="K273" s="52">
        <v>0</v>
      </c>
      <c r="L273" s="53">
        <f t="shared" ref="L273" si="721">(K273+J273)/E273</f>
        <v>7</v>
      </c>
      <c r="M273" s="53">
        <f t="shared" ref="M273" si="722">L273*E273</f>
        <v>9625</v>
      </c>
    </row>
    <row r="274" spans="1:13" ht="15" customHeight="1">
      <c r="A274" s="47">
        <v>43760</v>
      </c>
      <c r="B274" s="48" t="s">
        <v>55</v>
      </c>
      <c r="C274" s="49" t="s">
        <v>14</v>
      </c>
      <c r="D274" s="49">
        <v>470</v>
      </c>
      <c r="E274" s="50">
        <v>1200</v>
      </c>
      <c r="F274" s="48" t="s">
        <v>15</v>
      </c>
      <c r="G274" s="51">
        <v>15.5</v>
      </c>
      <c r="H274" s="51">
        <v>25</v>
      </c>
      <c r="I274" s="51">
        <v>0</v>
      </c>
      <c r="J274" s="52">
        <f t="shared" ref="J274" si="723">(IF(F274="SELL",G274-H274,IF(F274="BUY",H274-G274)))*E274</f>
        <v>11400</v>
      </c>
      <c r="K274" s="52">
        <v>0</v>
      </c>
      <c r="L274" s="53">
        <f t="shared" ref="L274" si="724">(K274+J274)/E274</f>
        <v>9.5</v>
      </c>
      <c r="M274" s="53">
        <f t="shared" ref="M274" si="725">L274*E274</f>
        <v>11400</v>
      </c>
    </row>
    <row r="275" spans="1:13" ht="15" customHeight="1">
      <c r="A275" s="47">
        <v>43756</v>
      </c>
      <c r="B275" s="48" t="s">
        <v>139</v>
      </c>
      <c r="C275" s="49" t="s">
        <v>16</v>
      </c>
      <c r="D275" s="49">
        <v>470</v>
      </c>
      <c r="E275" s="50">
        <v>1500</v>
      </c>
      <c r="F275" s="48" t="s">
        <v>15</v>
      </c>
      <c r="G275" s="51">
        <v>16</v>
      </c>
      <c r="H275" s="51">
        <v>20</v>
      </c>
      <c r="I275" s="51">
        <v>0</v>
      </c>
      <c r="J275" s="52">
        <f t="shared" ref="J275" si="726">(IF(F275="SELL",G275-H275,IF(F275="BUY",H275-G275)))*E275</f>
        <v>6000</v>
      </c>
      <c r="K275" s="52">
        <v>0</v>
      </c>
      <c r="L275" s="53">
        <f t="shared" ref="L275" si="727">(K275+J275)/E275</f>
        <v>4</v>
      </c>
      <c r="M275" s="53">
        <f t="shared" ref="M275" si="728">L275*E275</f>
        <v>6000</v>
      </c>
    </row>
    <row r="276" spans="1:13" ht="15" customHeight="1">
      <c r="A276" s="47">
        <v>43754</v>
      </c>
      <c r="B276" s="48" t="s">
        <v>137</v>
      </c>
      <c r="C276" s="49" t="s">
        <v>14</v>
      </c>
      <c r="D276" s="49">
        <v>45</v>
      </c>
      <c r="E276" s="50">
        <v>7500</v>
      </c>
      <c r="F276" s="48" t="s">
        <v>15</v>
      </c>
      <c r="G276" s="51">
        <v>3.3</v>
      </c>
      <c r="H276" s="51">
        <v>4.05</v>
      </c>
      <c r="I276" s="51">
        <v>0</v>
      </c>
      <c r="J276" s="52">
        <f t="shared" ref="J276" si="729">(IF(F276="SELL",G276-H276,IF(F276="BUY",H276-G276)))*E276</f>
        <v>5625</v>
      </c>
      <c r="K276" s="52">
        <v>0</v>
      </c>
      <c r="L276" s="53">
        <f t="shared" ref="L276" si="730">(K276+J276)/E276</f>
        <v>0.75</v>
      </c>
      <c r="M276" s="53">
        <f t="shared" ref="M276" si="731">L276*E276</f>
        <v>5625</v>
      </c>
    </row>
    <row r="277" spans="1:13" ht="15" customHeight="1">
      <c r="A277" s="47">
        <v>43753</v>
      </c>
      <c r="B277" s="48" t="s">
        <v>138</v>
      </c>
      <c r="C277" s="49" t="s">
        <v>16</v>
      </c>
      <c r="D277" s="49">
        <v>1300</v>
      </c>
      <c r="E277" s="50">
        <v>500</v>
      </c>
      <c r="F277" s="48" t="s">
        <v>15</v>
      </c>
      <c r="G277" s="51">
        <v>81</v>
      </c>
      <c r="H277" s="51">
        <v>89</v>
      </c>
      <c r="I277" s="51">
        <v>0</v>
      </c>
      <c r="J277" s="52">
        <f t="shared" ref="J277" si="732">(IF(F277="SELL",G277-H277,IF(F277="BUY",H277-G277)))*E277</f>
        <v>4000</v>
      </c>
      <c r="K277" s="52">
        <v>0</v>
      </c>
      <c r="L277" s="53">
        <f t="shared" ref="L277" si="733">(K277+J277)/E277</f>
        <v>8</v>
      </c>
      <c r="M277" s="53">
        <f t="shared" ref="M277" si="734">L277*E277</f>
        <v>4000</v>
      </c>
    </row>
    <row r="278" spans="1:13" ht="15" customHeight="1">
      <c r="A278" s="47">
        <v>43749</v>
      </c>
      <c r="B278" s="48" t="s">
        <v>137</v>
      </c>
      <c r="C278" s="49" t="s">
        <v>14</v>
      </c>
      <c r="D278" s="49">
        <v>45</v>
      </c>
      <c r="E278" s="50">
        <v>7500</v>
      </c>
      <c r="F278" s="48" t="s">
        <v>15</v>
      </c>
      <c r="G278" s="51">
        <v>3.6</v>
      </c>
      <c r="H278" s="51">
        <v>3.15</v>
      </c>
      <c r="I278" s="51">
        <v>0</v>
      </c>
      <c r="J278" s="52">
        <f t="shared" ref="J278" si="735">(IF(F278="SELL",G278-H278,IF(F278="BUY",H278-G278)))*E278</f>
        <v>-3375.0000000000014</v>
      </c>
      <c r="K278" s="52">
        <v>0</v>
      </c>
      <c r="L278" s="53">
        <f t="shared" ref="L278" si="736">(K278+J278)/E278</f>
        <v>-0.45000000000000018</v>
      </c>
      <c r="M278" s="53">
        <f t="shared" ref="M278" si="737">L278*E278</f>
        <v>-3375.0000000000014</v>
      </c>
    </row>
    <row r="279" spans="1:13" ht="15" customHeight="1">
      <c r="A279" s="47">
        <v>43747</v>
      </c>
      <c r="B279" s="48" t="s">
        <v>86</v>
      </c>
      <c r="C279" s="49" t="s">
        <v>14</v>
      </c>
      <c r="D279" s="49">
        <v>190</v>
      </c>
      <c r="E279" s="50">
        <v>2500</v>
      </c>
      <c r="F279" s="48" t="s">
        <v>15</v>
      </c>
      <c r="G279" s="51">
        <v>10</v>
      </c>
      <c r="H279" s="51">
        <v>8</v>
      </c>
      <c r="I279" s="51">
        <v>0</v>
      </c>
      <c r="J279" s="52">
        <f t="shared" ref="J279" si="738">(IF(F279="SELL",G279-H279,IF(F279="BUY",H279-G279)))*E279</f>
        <v>-5000</v>
      </c>
      <c r="K279" s="52">
        <v>0</v>
      </c>
      <c r="L279" s="53">
        <f t="shared" ref="L279" si="739">(K279+J279)/E279</f>
        <v>-2</v>
      </c>
      <c r="M279" s="53">
        <f t="shared" ref="M279" si="740">L279*E279</f>
        <v>-5000</v>
      </c>
    </row>
    <row r="280" spans="1:13" ht="15" customHeight="1">
      <c r="A280" s="47">
        <v>43738</v>
      </c>
      <c r="B280" s="48" t="s">
        <v>95</v>
      </c>
      <c r="C280" s="49" t="s">
        <v>14</v>
      </c>
      <c r="D280" s="49">
        <v>120</v>
      </c>
      <c r="E280" s="50">
        <v>6000</v>
      </c>
      <c r="F280" s="48" t="s">
        <v>15</v>
      </c>
      <c r="G280" s="51">
        <v>4.3</v>
      </c>
      <c r="H280" s="51">
        <v>3.85</v>
      </c>
      <c r="I280" s="51">
        <v>0</v>
      </c>
      <c r="J280" s="52">
        <f t="shared" ref="J280" si="741">(IF(F280="SELL",G280-H280,IF(F280="BUY",H280-G280)))*E280</f>
        <v>-2699.9999999999982</v>
      </c>
      <c r="K280" s="52">
        <v>0</v>
      </c>
      <c r="L280" s="53">
        <f t="shared" ref="L280" si="742">(K280+J280)/E280</f>
        <v>-0.44999999999999968</v>
      </c>
      <c r="M280" s="53">
        <f t="shared" ref="M280" si="743">L280*E280</f>
        <v>-2699.9999999999982</v>
      </c>
    </row>
    <row r="281" spans="1:13" ht="15" customHeight="1">
      <c r="A281" s="47">
        <v>43735</v>
      </c>
      <c r="B281" s="48" t="s">
        <v>136</v>
      </c>
      <c r="C281" s="49" t="s">
        <v>16</v>
      </c>
      <c r="D281" s="49">
        <v>1300</v>
      </c>
      <c r="E281" s="50">
        <v>500</v>
      </c>
      <c r="F281" s="48" t="s">
        <v>15</v>
      </c>
      <c r="G281" s="51">
        <v>55</v>
      </c>
      <c r="H281" s="51">
        <v>62</v>
      </c>
      <c r="I281" s="51">
        <v>0</v>
      </c>
      <c r="J281" s="52">
        <f t="shared" ref="J281" si="744">(IF(F281="SELL",G281-H281,IF(F281="BUY",H281-G281)))*E281</f>
        <v>3500</v>
      </c>
      <c r="K281" s="52">
        <v>0</v>
      </c>
      <c r="L281" s="53">
        <f t="shared" ref="L281" si="745">(K281+J281)/E281</f>
        <v>7</v>
      </c>
      <c r="M281" s="53">
        <f t="shared" ref="M281" si="746">L281*E281</f>
        <v>3500</v>
      </c>
    </row>
    <row r="282" spans="1:13" ht="15" customHeight="1">
      <c r="A282" s="47">
        <v>43734</v>
      </c>
      <c r="B282" s="48" t="s">
        <v>108</v>
      </c>
      <c r="C282" s="49" t="s">
        <v>16</v>
      </c>
      <c r="D282" s="49">
        <v>62.5</v>
      </c>
      <c r="E282" s="50">
        <v>7000</v>
      </c>
      <c r="F282" s="48" t="s">
        <v>15</v>
      </c>
      <c r="G282" s="51">
        <v>2.2999999999999998</v>
      </c>
      <c r="H282" s="51">
        <v>3.25</v>
      </c>
      <c r="I282" s="51">
        <v>0</v>
      </c>
      <c r="J282" s="52">
        <f t="shared" ref="J282" si="747">(IF(F282="SELL",G282-H282,IF(F282="BUY",H282-G282)))*E282</f>
        <v>6650.0000000000009</v>
      </c>
      <c r="K282" s="52">
        <v>0</v>
      </c>
      <c r="L282" s="53">
        <f t="shared" ref="L282" si="748">(K282+J282)/E282</f>
        <v>0.95000000000000018</v>
      </c>
      <c r="M282" s="53">
        <f t="shared" ref="M282" si="749">L282*E282</f>
        <v>6650.0000000000009</v>
      </c>
    </row>
    <row r="283" spans="1:13" ht="15" customHeight="1">
      <c r="A283" s="47">
        <v>43733</v>
      </c>
      <c r="B283" s="48" t="s">
        <v>93</v>
      </c>
      <c r="C283" s="49" t="s">
        <v>14</v>
      </c>
      <c r="D283" s="49">
        <v>65</v>
      </c>
      <c r="E283" s="50">
        <v>8000</v>
      </c>
      <c r="F283" s="48" t="s">
        <v>15</v>
      </c>
      <c r="G283" s="51">
        <v>2.2999999999999998</v>
      </c>
      <c r="H283" s="51">
        <v>3.5</v>
      </c>
      <c r="I283" s="51">
        <v>4.3</v>
      </c>
      <c r="J283" s="52">
        <f t="shared" ref="J283" si="750">(IF(F283="SELL",G283-H283,IF(F283="BUY",H283-G283)))*E283</f>
        <v>9600.0000000000018</v>
      </c>
      <c r="K283" s="52">
        <f>E283*0.8</f>
        <v>6400</v>
      </c>
      <c r="L283" s="53">
        <f t="shared" ref="L283" si="751">(K283+J283)/E283</f>
        <v>2.0000000000000004</v>
      </c>
      <c r="M283" s="53">
        <f t="shared" ref="M283" si="752">L283*E283</f>
        <v>16000.000000000004</v>
      </c>
    </row>
    <row r="284" spans="1:13" ht="15" customHeight="1">
      <c r="A284" s="47">
        <v>43732</v>
      </c>
      <c r="B284" s="48" t="s">
        <v>93</v>
      </c>
      <c r="C284" s="49" t="s">
        <v>14</v>
      </c>
      <c r="D284" s="49">
        <v>70</v>
      </c>
      <c r="E284" s="50">
        <v>8000</v>
      </c>
      <c r="F284" s="48" t="s">
        <v>15</v>
      </c>
      <c r="G284" s="51">
        <v>3.8</v>
      </c>
      <c r="H284" s="51">
        <v>5</v>
      </c>
      <c r="I284" s="51">
        <v>5.35</v>
      </c>
      <c r="J284" s="52">
        <f t="shared" ref="J284" si="753">(IF(F284="SELL",G284-H284,IF(F284="BUY",H284-G284)))*E284</f>
        <v>9600.0000000000018</v>
      </c>
      <c r="K284" s="52">
        <f>E284*0.35</f>
        <v>2800</v>
      </c>
      <c r="L284" s="53">
        <f t="shared" ref="L284" si="754">(K284+J284)/E284</f>
        <v>1.5500000000000003</v>
      </c>
      <c r="M284" s="53">
        <f t="shared" ref="M284" si="755">L284*E284</f>
        <v>12400.000000000002</v>
      </c>
    </row>
    <row r="285" spans="1:13" ht="15" customHeight="1">
      <c r="A285" s="47">
        <v>43731</v>
      </c>
      <c r="B285" s="48" t="s">
        <v>87</v>
      </c>
      <c r="C285" s="49" t="s">
        <v>16</v>
      </c>
      <c r="D285" s="49">
        <v>1660</v>
      </c>
      <c r="E285" s="50">
        <v>550</v>
      </c>
      <c r="F285" s="48" t="s">
        <v>15</v>
      </c>
      <c r="G285" s="51">
        <v>38</v>
      </c>
      <c r="H285" s="51">
        <v>52</v>
      </c>
      <c r="I285" s="51">
        <v>70</v>
      </c>
      <c r="J285" s="52">
        <f t="shared" ref="J285" si="756">(IF(F285="SELL",G285-H285,IF(F285="BUY",H285-G285)))*E285</f>
        <v>7700</v>
      </c>
      <c r="K285" s="52">
        <f>E285*18</f>
        <v>9900</v>
      </c>
      <c r="L285" s="53">
        <f t="shared" ref="L285" si="757">(K285+J285)/E285</f>
        <v>32</v>
      </c>
      <c r="M285" s="53">
        <f t="shared" ref="M285" si="758">L285*E285</f>
        <v>17600</v>
      </c>
    </row>
    <row r="286" spans="1:13" ht="15" customHeight="1">
      <c r="A286" s="47">
        <v>43728</v>
      </c>
      <c r="B286" s="48" t="s">
        <v>52</v>
      </c>
      <c r="C286" s="49" t="s">
        <v>16</v>
      </c>
      <c r="D286" s="49">
        <v>1160</v>
      </c>
      <c r="E286" s="50">
        <v>750</v>
      </c>
      <c r="F286" s="48" t="s">
        <v>15</v>
      </c>
      <c r="G286" s="51">
        <v>25</v>
      </c>
      <c r="H286" s="51">
        <v>35</v>
      </c>
      <c r="I286" s="51">
        <v>50</v>
      </c>
      <c r="J286" s="52">
        <f t="shared" ref="J286" si="759">(IF(F286="SELL",G286-H286,IF(F286="BUY",H286-G286)))*E286</f>
        <v>7500</v>
      </c>
      <c r="K286" s="52">
        <f>E286*15</f>
        <v>11250</v>
      </c>
      <c r="L286" s="53">
        <f t="shared" ref="L286" si="760">(K286+J286)/E286</f>
        <v>25</v>
      </c>
      <c r="M286" s="53">
        <f t="shared" ref="M286" si="761">L286*E286</f>
        <v>18750</v>
      </c>
    </row>
    <row r="287" spans="1:13" ht="15" customHeight="1">
      <c r="A287" s="47">
        <v>43727</v>
      </c>
      <c r="B287" s="48" t="s">
        <v>95</v>
      </c>
      <c r="C287" s="49" t="s">
        <v>14</v>
      </c>
      <c r="D287" s="49">
        <v>135</v>
      </c>
      <c r="E287" s="50">
        <v>6000</v>
      </c>
      <c r="F287" s="48" t="s">
        <v>15</v>
      </c>
      <c r="G287" s="51">
        <v>7</v>
      </c>
      <c r="H287" s="51">
        <v>8.5</v>
      </c>
      <c r="I287" s="51">
        <v>9.75</v>
      </c>
      <c r="J287" s="52">
        <f t="shared" ref="J287" si="762">(IF(F287="SELL",G287-H287,IF(F287="BUY",H287-G287)))*E287</f>
        <v>9000</v>
      </c>
      <c r="K287" s="52">
        <f>E287*1.25</f>
        <v>7500</v>
      </c>
      <c r="L287" s="53">
        <f t="shared" ref="L287" si="763">(K287+J287)/E287</f>
        <v>2.75</v>
      </c>
      <c r="M287" s="53">
        <f t="shared" ref="M287" si="764">L287*E287</f>
        <v>16500</v>
      </c>
    </row>
    <row r="288" spans="1:13" ht="15" customHeight="1">
      <c r="A288" s="47">
        <v>43727</v>
      </c>
      <c r="B288" s="48" t="s">
        <v>29</v>
      </c>
      <c r="C288" s="49" t="s">
        <v>14</v>
      </c>
      <c r="D288" s="49">
        <v>100</v>
      </c>
      <c r="E288" s="50">
        <v>3200</v>
      </c>
      <c r="F288" s="48" t="s">
        <v>15</v>
      </c>
      <c r="G288" s="51">
        <v>3</v>
      </c>
      <c r="H288" s="51">
        <v>4</v>
      </c>
      <c r="I288" s="51">
        <v>0</v>
      </c>
      <c r="J288" s="52">
        <f t="shared" ref="J288" si="765">(IF(F288="SELL",G288-H288,IF(F288="BUY",H288-G288)))*E288</f>
        <v>3200</v>
      </c>
      <c r="K288" s="52">
        <v>0</v>
      </c>
      <c r="L288" s="53">
        <f t="shared" ref="L288" si="766">(K288+J288)/E288</f>
        <v>1</v>
      </c>
      <c r="M288" s="53">
        <f t="shared" ref="M288" si="767">L288*E288</f>
        <v>3200</v>
      </c>
    </row>
    <row r="289" spans="1:13" ht="15" customHeight="1">
      <c r="A289" s="47">
        <v>43726</v>
      </c>
      <c r="B289" s="48" t="s">
        <v>93</v>
      </c>
      <c r="C289" s="49" t="s">
        <v>14</v>
      </c>
      <c r="D289" s="49">
        <v>60</v>
      </c>
      <c r="E289" s="50">
        <v>8000</v>
      </c>
      <c r="F289" s="48" t="s">
        <v>15</v>
      </c>
      <c r="G289" s="51">
        <v>5.8</v>
      </c>
      <c r="H289" s="51">
        <v>6.25</v>
      </c>
      <c r="I289" s="51">
        <v>0</v>
      </c>
      <c r="J289" s="52">
        <f t="shared" ref="J289" si="768">(IF(F289="SELL",G289-H289,IF(F289="BUY",H289-G289)))*E289</f>
        <v>3600.0000000000014</v>
      </c>
      <c r="K289" s="52">
        <v>0</v>
      </c>
      <c r="L289" s="53">
        <f t="shared" ref="L289" si="769">(K289+J289)/E289</f>
        <v>0.45000000000000018</v>
      </c>
      <c r="M289" s="53">
        <f t="shared" ref="M289" si="770">L289*E289</f>
        <v>3600.0000000000014</v>
      </c>
    </row>
    <row r="290" spans="1:13" ht="15" customHeight="1">
      <c r="A290" s="47">
        <v>43726</v>
      </c>
      <c r="B290" s="48" t="s">
        <v>72</v>
      </c>
      <c r="C290" s="49" t="s">
        <v>14</v>
      </c>
      <c r="D290" s="49">
        <v>380</v>
      </c>
      <c r="E290" s="50">
        <v>1800</v>
      </c>
      <c r="F290" s="48" t="s">
        <v>15</v>
      </c>
      <c r="G290" s="51">
        <v>14</v>
      </c>
      <c r="H290" s="51">
        <v>9</v>
      </c>
      <c r="I290" s="51">
        <v>0</v>
      </c>
      <c r="J290" s="52">
        <f t="shared" ref="J290" si="771">(IF(F290="SELL",G290-H290,IF(F290="BUY",H290-G290)))*E290</f>
        <v>-9000</v>
      </c>
      <c r="K290" s="52">
        <v>0</v>
      </c>
      <c r="L290" s="53">
        <f t="shared" ref="L290" si="772">(K290+J290)/E290</f>
        <v>-5</v>
      </c>
      <c r="M290" s="53">
        <f t="shared" ref="M290" si="773">L290*E290</f>
        <v>-9000</v>
      </c>
    </row>
    <row r="291" spans="1:13" ht="15" customHeight="1">
      <c r="A291" s="47">
        <v>43725</v>
      </c>
      <c r="B291" s="48" t="s">
        <v>95</v>
      </c>
      <c r="C291" s="49" t="s">
        <v>14</v>
      </c>
      <c r="D291" s="49">
        <v>142.5</v>
      </c>
      <c r="E291" s="50">
        <v>6000</v>
      </c>
      <c r="F291" s="48" t="s">
        <v>15</v>
      </c>
      <c r="G291" s="51">
        <v>4</v>
      </c>
      <c r="H291" s="51">
        <v>5.5</v>
      </c>
      <c r="I291" s="51">
        <v>6.95</v>
      </c>
      <c r="J291" s="52">
        <f t="shared" ref="J291" si="774">(IF(F291="SELL",G291-H291,IF(F291="BUY",H291-G291)))*E291</f>
        <v>9000</v>
      </c>
      <c r="K291" s="52">
        <f>E291*1.45</f>
        <v>8700</v>
      </c>
      <c r="L291" s="53">
        <f t="shared" ref="L291" si="775">(K291+J291)/E291</f>
        <v>2.95</v>
      </c>
      <c r="M291" s="53">
        <f t="shared" ref="M291" si="776">L291*E291</f>
        <v>17700</v>
      </c>
    </row>
    <row r="292" spans="1:13" ht="15" customHeight="1">
      <c r="A292" s="47">
        <v>43725</v>
      </c>
      <c r="B292" s="48" t="s">
        <v>90</v>
      </c>
      <c r="C292" s="49" t="s">
        <v>14</v>
      </c>
      <c r="D292" s="49">
        <v>112.5</v>
      </c>
      <c r="E292" s="50">
        <v>6200</v>
      </c>
      <c r="F292" s="48" t="s">
        <v>15</v>
      </c>
      <c r="G292" s="51">
        <v>5.6</v>
      </c>
      <c r="H292" s="51">
        <v>7</v>
      </c>
      <c r="I292" s="51">
        <v>9</v>
      </c>
      <c r="J292" s="52">
        <f t="shared" ref="J292" si="777">(IF(F292="SELL",G292-H292,IF(F292="BUY",H292-G292)))*E292</f>
        <v>8680.0000000000018</v>
      </c>
      <c r="K292" s="52">
        <f>E292*2</f>
        <v>12400</v>
      </c>
      <c r="L292" s="53">
        <f t="shared" ref="L292" si="778">(K292+J292)/E292</f>
        <v>3.4</v>
      </c>
      <c r="M292" s="53">
        <f t="shared" ref="M292" si="779">L292*E292</f>
        <v>21080</v>
      </c>
    </row>
    <row r="293" spans="1:13" ht="15" customHeight="1">
      <c r="A293" s="47">
        <v>43724</v>
      </c>
      <c r="B293" s="48" t="s">
        <v>95</v>
      </c>
      <c r="C293" s="49" t="s">
        <v>14</v>
      </c>
      <c r="D293" s="49">
        <v>145</v>
      </c>
      <c r="E293" s="50">
        <v>6000</v>
      </c>
      <c r="F293" s="48" t="s">
        <v>15</v>
      </c>
      <c r="G293" s="51">
        <v>4</v>
      </c>
      <c r="H293" s="51">
        <v>4.3499999999999996</v>
      </c>
      <c r="I293" s="51">
        <v>0</v>
      </c>
      <c r="J293" s="52">
        <f t="shared" ref="J293" si="780">(IF(F293="SELL",G293-H293,IF(F293="BUY",H293-G293)))*E293</f>
        <v>2099.9999999999977</v>
      </c>
      <c r="K293" s="52">
        <v>0</v>
      </c>
      <c r="L293" s="53">
        <f t="shared" ref="L293" si="781">(K293+J293)/E293</f>
        <v>0.34999999999999964</v>
      </c>
      <c r="M293" s="53">
        <f t="shared" ref="M293" si="782">L293*E293</f>
        <v>2099.9999999999977</v>
      </c>
    </row>
    <row r="294" spans="1:13" ht="15" customHeight="1">
      <c r="A294" s="47">
        <v>43724</v>
      </c>
      <c r="B294" s="48" t="s">
        <v>93</v>
      </c>
      <c r="C294" s="49" t="s">
        <v>16</v>
      </c>
      <c r="D294" s="49">
        <v>55</v>
      </c>
      <c r="E294" s="50">
        <v>8000</v>
      </c>
      <c r="F294" s="48" t="s">
        <v>15</v>
      </c>
      <c r="G294" s="51">
        <v>4.5</v>
      </c>
      <c r="H294" s="51">
        <v>4.9000000000000004</v>
      </c>
      <c r="I294" s="51">
        <v>0</v>
      </c>
      <c r="J294" s="52">
        <f t="shared" ref="J294" si="783">(IF(F294="SELL",G294-H294,IF(F294="BUY",H294-G294)))*E294</f>
        <v>3200.0000000000027</v>
      </c>
      <c r="K294" s="52">
        <v>0</v>
      </c>
      <c r="L294" s="53">
        <f t="shared" ref="L294" si="784">(K294+J294)/E294</f>
        <v>0.40000000000000036</v>
      </c>
      <c r="M294" s="53">
        <f t="shared" ref="M294" si="785">L294*E294</f>
        <v>3200.0000000000027</v>
      </c>
    </row>
    <row r="295" spans="1:13" ht="15" customHeight="1">
      <c r="A295" s="47">
        <v>43721</v>
      </c>
      <c r="B295" s="48" t="s">
        <v>58</v>
      </c>
      <c r="C295" s="49" t="s">
        <v>16</v>
      </c>
      <c r="D295" s="49">
        <v>175</v>
      </c>
      <c r="E295" s="50">
        <v>3000</v>
      </c>
      <c r="F295" s="48" t="s">
        <v>15</v>
      </c>
      <c r="G295" s="51">
        <v>7</v>
      </c>
      <c r="H295" s="51">
        <v>8</v>
      </c>
      <c r="I295" s="51">
        <v>0</v>
      </c>
      <c r="J295" s="52">
        <f t="shared" ref="J295" si="786">(IF(F295="SELL",G295-H295,IF(F295="BUY",H295-G295)))*E295</f>
        <v>3000</v>
      </c>
      <c r="K295" s="52">
        <v>0</v>
      </c>
      <c r="L295" s="53">
        <f t="shared" ref="L295" si="787">(K295+J295)/E295</f>
        <v>1</v>
      </c>
      <c r="M295" s="53">
        <f t="shared" ref="M295" si="788">L295*E295</f>
        <v>3000</v>
      </c>
    </row>
    <row r="296" spans="1:13" ht="15" customHeight="1">
      <c r="A296" s="47">
        <v>43720</v>
      </c>
      <c r="B296" s="48" t="s">
        <v>93</v>
      </c>
      <c r="C296" s="49" t="s">
        <v>16</v>
      </c>
      <c r="D296" s="49">
        <v>55</v>
      </c>
      <c r="E296" s="50">
        <v>8000</v>
      </c>
      <c r="F296" s="48" t="s">
        <v>15</v>
      </c>
      <c r="G296" s="51">
        <v>5</v>
      </c>
      <c r="H296" s="51">
        <v>6</v>
      </c>
      <c r="I296" s="51">
        <v>6.9</v>
      </c>
      <c r="J296" s="52">
        <f t="shared" ref="J296" si="789">(IF(F296="SELL",G296-H296,IF(F296="BUY",H296-G296)))*E296</f>
        <v>8000</v>
      </c>
      <c r="K296" s="52">
        <f>E296*0.9</f>
        <v>7200</v>
      </c>
      <c r="L296" s="53">
        <f t="shared" ref="L296" si="790">(K296+J296)/E296</f>
        <v>1.9</v>
      </c>
      <c r="M296" s="53">
        <f t="shared" ref="M296" si="791">L296*E296</f>
        <v>15200</v>
      </c>
    </row>
    <row r="297" spans="1:13" ht="15" customHeight="1">
      <c r="A297" s="47">
        <v>43719</v>
      </c>
      <c r="B297" s="48" t="s">
        <v>110</v>
      </c>
      <c r="C297" s="49" t="s">
        <v>16</v>
      </c>
      <c r="D297" s="49">
        <v>360</v>
      </c>
      <c r="E297" s="50">
        <v>2500</v>
      </c>
      <c r="F297" s="48" t="s">
        <v>15</v>
      </c>
      <c r="G297" s="51">
        <v>17.3</v>
      </c>
      <c r="H297" s="51">
        <v>19</v>
      </c>
      <c r="I297" s="51">
        <v>0</v>
      </c>
      <c r="J297" s="52">
        <f t="shared" ref="J297" si="792">(IF(F297="SELL",G297-H297,IF(F297="BUY",H297-G297)))*E297</f>
        <v>4249.9999999999982</v>
      </c>
      <c r="K297" s="52">
        <v>0</v>
      </c>
      <c r="L297" s="53">
        <f t="shared" ref="L297" si="793">(K297+J297)/E297</f>
        <v>1.6999999999999993</v>
      </c>
      <c r="M297" s="53">
        <f t="shared" ref="M297" si="794">L297*E297</f>
        <v>4249.9999999999982</v>
      </c>
    </row>
    <row r="298" spans="1:13" ht="15" customHeight="1">
      <c r="A298" s="47">
        <v>43719</v>
      </c>
      <c r="B298" s="48" t="s">
        <v>95</v>
      </c>
      <c r="C298" s="49" t="s">
        <v>16</v>
      </c>
      <c r="D298" s="49">
        <v>150</v>
      </c>
      <c r="E298" s="50">
        <v>6200</v>
      </c>
      <c r="F298" s="48" t="s">
        <v>15</v>
      </c>
      <c r="G298" s="51">
        <v>5.5</v>
      </c>
      <c r="H298" s="51">
        <v>4</v>
      </c>
      <c r="I298" s="51">
        <v>0</v>
      </c>
      <c r="J298" s="52">
        <f t="shared" ref="J298" si="795">(IF(F298="SELL",G298-H298,IF(F298="BUY",H298-G298)))*E298</f>
        <v>-9300</v>
      </c>
      <c r="K298" s="52">
        <v>0</v>
      </c>
      <c r="L298" s="53">
        <f t="shared" ref="L298" si="796">(K298+J298)/E298</f>
        <v>-1.5</v>
      </c>
      <c r="M298" s="53">
        <f t="shared" ref="M298" si="797">L298*E298</f>
        <v>-9300</v>
      </c>
    </row>
    <row r="299" spans="1:13">
      <c r="A299" s="47">
        <v>43717</v>
      </c>
      <c r="B299" s="48" t="s">
        <v>93</v>
      </c>
      <c r="C299" s="49" t="s">
        <v>16</v>
      </c>
      <c r="D299" s="49">
        <v>55</v>
      </c>
      <c r="E299" s="50">
        <v>8000</v>
      </c>
      <c r="F299" s="48" t="s">
        <v>15</v>
      </c>
      <c r="G299" s="51">
        <v>5.2</v>
      </c>
      <c r="H299" s="51">
        <v>6.2</v>
      </c>
      <c r="I299" s="51">
        <v>0</v>
      </c>
      <c r="J299" s="52">
        <f t="shared" ref="J299" si="798">(IF(F299="SELL",G299-H299,IF(F299="BUY",H299-G299)))*E299</f>
        <v>8000</v>
      </c>
      <c r="K299" s="52">
        <v>0</v>
      </c>
      <c r="L299" s="53">
        <f t="shared" ref="L299" si="799">(K299+J299)/E299</f>
        <v>1</v>
      </c>
      <c r="M299" s="53">
        <f t="shared" ref="M299" si="800">L299*E299</f>
        <v>8000</v>
      </c>
    </row>
    <row r="300" spans="1:13">
      <c r="A300" s="47">
        <v>43717</v>
      </c>
      <c r="B300" s="48" t="s">
        <v>125</v>
      </c>
      <c r="C300" s="49" t="s">
        <v>14</v>
      </c>
      <c r="D300" s="49">
        <v>265</v>
      </c>
      <c r="E300" s="50">
        <v>2700</v>
      </c>
      <c r="F300" s="48" t="s">
        <v>15</v>
      </c>
      <c r="G300" s="51">
        <v>8.4</v>
      </c>
      <c r="H300" s="51">
        <v>9.1999999999999993</v>
      </c>
      <c r="I300" s="51">
        <v>0</v>
      </c>
      <c r="J300" s="52">
        <f t="shared" ref="J300" si="801">(IF(F300="SELL",G300-H300,IF(F300="BUY",H300-G300)))*E300</f>
        <v>2159.9999999999973</v>
      </c>
      <c r="K300" s="52">
        <v>0</v>
      </c>
      <c r="L300" s="53">
        <f t="shared" ref="L300" si="802">(K300+J300)/E300</f>
        <v>0.79999999999999893</v>
      </c>
      <c r="M300" s="53">
        <f t="shared" ref="M300" si="803">L300*E300</f>
        <v>2159.9999999999973</v>
      </c>
    </row>
    <row r="301" spans="1:13">
      <c r="A301" s="47">
        <v>43714</v>
      </c>
      <c r="B301" s="48" t="s">
        <v>72</v>
      </c>
      <c r="C301" s="49" t="s">
        <v>14</v>
      </c>
      <c r="D301" s="49">
        <v>370</v>
      </c>
      <c r="E301" s="50">
        <v>1800</v>
      </c>
      <c r="F301" s="48" t="s">
        <v>15</v>
      </c>
      <c r="G301" s="51">
        <v>20</v>
      </c>
      <c r="H301" s="51">
        <v>20</v>
      </c>
      <c r="I301" s="51">
        <v>0</v>
      </c>
      <c r="J301" s="52">
        <f t="shared" ref="J301" si="804">(IF(F301="SELL",G301-H301,IF(F301="BUY",H301-G301)))*E301</f>
        <v>0</v>
      </c>
      <c r="K301" s="52">
        <v>0</v>
      </c>
      <c r="L301" s="53">
        <f t="shared" ref="L301" si="805">(K301+J301)/E301</f>
        <v>0</v>
      </c>
      <c r="M301" s="53">
        <f t="shared" ref="M301" si="806">L301*E301</f>
        <v>0</v>
      </c>
    </row>
    <row r="302" spans="1:13">
      <c r="A302" s="47">
        <v>43713</v>
      </c>
      <c r="B302" s="48" t="s">
        <v>98</v>
      </c>
      <c r="C302" s="49" t="s">
        <v>14</v>
      </c>
      <c r="D302" s="49">
        <v>560</v>
      </c>
      <c r="E302" s="50">
        <v>800</v>
      </c>
      <c r="F302" s="48" t="s">
        <v>15</v>
      </c>
      <c r="G302" s="51">
        <v>18</v>
      </c>
      <c r="H302" s="51">
        <v>20.100000000000001</v>
      </c>
      <c r="I302" s="51">
        <v>0</v>
      </c>
      <c r="J302" s="52">
        <f t="shared" ref="J302" si="807">(IF(F302="SELL",G302-H302,IF(F302="BUY",H302-G302)))*E302</f>
        <v>1680.0000000000011</v>
      </c>
      <c r="K302" s="52">
        <v>0</v>
      </c>
      <c r="L302" s="53">
        <f t="shared" ref="L302" si="808">(K302+J302)/E302</f>
        <v>2.1000000000000014</v>
      </c>
      <c r="M302" s="53">
        <f t="shared" ref="M302" si="809">L302*E302</f>
        <v>1680.0000000000011</v>
      </c>
    </row>
    <row r="303" spans="1:13">
      <c r="A303" s="47">
        <v>43713</v>
      </c>
      <c r="B303" s="48" t="s">
        <v>90</v>
      </c>
      <c r="C303" s="49" t="s">
        <v>14</v>
      </c>
      <c r="D303" s="49">
        <v>107.5</v>
      </c>
      <c r="E303" s="50">
        <v>6200</v>
      </c>
      <c r="F303" s="48" t="s">
        <v>15</v>
      </c>
      <c r="G303" s="51">
        <v>6</v>
      </c>
      <c r="H303" s="51">
        <v>6.25</v>
      </c>
      <c r="I303" s="51">
        <v>0</v>
      </c>
      <c r="J303" s="52">
        <f t="shared" ref="J303" si="810">(IF(F303="SELL",G303-H303,IF(F303="BUY",H303-G303)))*E303</f>
        <v>1550</v>
      </c>
      <c r="K303" s="52">
        <v>0</v>
      </c>
      <c r="L303" s="53">
        <f t="shared" ref="L303" si="811">(K303+J303)/E303</f>
        <v>0.25</v>
      </c>
      <c r="M303" s="53">
        <f t="shared" ref="M303" si="812">L303*E303</f>
        <v>1550</v>
      </c>
    </row>
    <row r="304" spans="1:13">
      <c r="A304" s="47">
        <v>43712</v>
      </c>
      <c r="B304" s="48" t="s">
        <v>135</v>
      </c>
      <c r="C304" s="49" t="s">
        <v>14</v>
      </c>
      <c r="D304" s="49">
        <v>570</v>
      </c>
      <c r="E304" s="50">
        <v>700</v>
      </c>
      <c r="F304" s="48" t="s">
        <v>15</v>
      </c>
      <c r="G304" s="51">
        <v>16</v>
      </c>
      <c r="H304" s="51">
        <v>6.35</v>
      </c>
      <c r="I304" s="51">
        <v>0</v>
      </c>
      <c r="J304" s="52">
        <f t="shared" ref="J304" si="813">(IF(F304="SELL",G304-H304,IF(F304="BUY",H304-G304)))*E304</f>
        <v>-6755</v>
      </c>
      <c r="K304" s="52">
        <v>0</v>
      </c>
      <c r="L304" s="53">
        <f t="shared" ref="L304" si="814">(K304+J304)/E304</f>
        <v>-9.65</v>
      </c>
      <c r="M304" s="53">
        <f t="shared" ref="M304" si="815">L304*E304</f>
        <v>-6755</v>
      </c>
    </row>
    <row r="305" spans="1:49">
      <c r="A305" s="47">
        <v>43712</v>
      </c>
      <c r="B305" s="48" t="s">
        <v>46</v>
      </c>
      <c r="C305" s="49" t="s">
        <v>14</v>
      </c>
      <c r="D305" s="49">
        <v>430</v>
      </c>
      <c r="E305" s="50">
        <v>1000</v>
      </c>
      <c r="F305" s="48" t="s">
        <v>15</v>
      </c>
      <c r="G305" s="51">
        <v>22</v>
      </c>
      <c r="H305" s="51">
        <v>17</v>
      </c>
      <c r="I305" s="51">
        <v>0</v>
      </c>
      <c r="J305" s="52">
        <f t="shared" ref="J305" si="816">(IF(F305="SELL",G305-H305,IF(F305="BUY",H305-G305)))*E305</f>
        <v>-5000</v>
      </c>
      <c r="K305" s="52">
        <v>0</v>
      </c>
      <c r="L305" s="53">
        <f t="shared" ref="L305" si="817">(K305+J305)/E305</f>
        <v>-5</v>
      </c>
      <c r="M305" s="53">
        <f t="shared" ref="M305" si="818">L305*E305</f>
        <v>-5000</v>
      </c>
    </row>
    <row r="306" spans="1:49">
      <c r="A306" s="47">
        <v>43711</v>
      </c>
      <c r="B306" s="48" t="s">
        <v>108</v>
      </c>
      <c r="C306" s="49" t="s">
        <v>14</v>
      </c>
      <c r="D306" s="49">
        <v>65</v>
      </c>
      <c r="E306" s="50">
        <v>7000</v>
      </c>
      <c r="F306" s="48" t="s">
        <v>15</v>
      </c>
      <c r="G306" s="51">
        <v>7</v>
      </c>
      <c r="H306" s="51">
        <v>7.25</v>
      </c>
      <c r="I306" s="51">
        <v>0</v>
      </c>
      <c r="J306" s="52">
        <f t="shared" ref="J306" si="819">(IF(F306="SELL",G306-H306,IF(F306="BUY",H306-G306)))*E306</f>
        <v>1750</v>
      </c>
      <c r="K306" s="52">
        <v>0</v>
      </c>
      <c r="L306" s="53">
        <f t="shared" ref="L306" si="820">(K306+J306)/E306</f>
        <v>0.25</v>
      </c>
      <c r="M306" s="53">
        <f t="shared" ref="M306" si="821">L306*E306</f>
        <v>1750</v>
      </c>
    </row>
    <row r="307" spans="1:49">
      <c r="A307" s="47">
        <v>43707</v>
      </c>
      <c r="B307" s="48" t="s">
        <v>46</v>
      </c>
      <c r="C307" s="49" t="s">
        <v>14</v>
      </c>
      <c r="D307" s="49">
        <v>430</v>
      </c>
      <c r="E307" s="50">
        <v>1000</v>
      </c>
      <c r="F307" s="48" t="s">
        <v>15</v>
      </c>
      <c r="G307" s="51">
        <v>23.5</v>
      </c>
      <c r="H307" s="51">
        <v>17</v>
      </c>
      <c r="I307" s="51">
        <v>0</v>
      </c>
      <c r="J307" s="52">
        <f t="shared" ref="J307" si="822">(IF(F307="SELL",G307-H307,IF(F307="BUY",H307-G307)))*E307</f>
        <v>-6500</v>
      </c>
      <c r="K307" s="52">
        <v>0</v>
      </c>
      <c r="L307" s="53">
        <f t="shared" ref="L307" si="823">(K307+J307)/E307</f>
        <v>-6.5</v>
      </c>
      <c r="M307" s="53">
        <f t="shared" ref="M307" si="824">L307*E307</f>
        <v>-6500</v>
      </c>
    </row>
    <row r="308" spans="1:49">
      <c r="A308" s="47">
        <v>43706</v>
      </c>
      <c r="B308" s="48" t="s">
        <v>93</v>
      </c>
      <c r="C308" s="49" t="s">
        <v>14</v>
      </c>
      <c r="D308" s="49">
        <v>60</v>
      </c>
      <c r="E308" s="50">
        <v>8000</v>
      </c>
      <c r="F308" s="48" t="s">
        <v>15</v>
      </c>
      <c r="G308" s="51">
        <v>5.0999999999999996</v>
      </c>
      <c r="H308" s="51">
        <v>6.5</v>
      </c>
      <c r="I308" s="51">
        <v>0</v>
      </c>
      <c r="J308" s="52">
        <f t="shared" ref="J308" si="825">(IF(F308="SELL",G308-H308,IF(F308="BUY",H308-G308)))*E308</f>
        <v>11200.000000000004</v>
      </c>
      <c r="K308" s="52">
        <v>0</v>
      </c>
      <c r="L308" s="53">
        <f t="shared" ref="L308" si="826">(K308+J308)/E308</f>
        <v>1.4000000000000004</v>
      </c>
      <c r="M308" s="53">
        <f t="shared" ref="M308" si="827">L308*E308</f>
        <v>11200.000000000004</v>
      </c>
    </row>
    <row r="309" spans="1:49" ht="15" customHeight="1">
      <c r="A309" s="47">
        <v>43706</v>
      </c>
      <c r="B309" s="48" t="s">
        <v>134</v>
      </c>
      <c r="C309" s="49" t="s">
        <v>14</v>
      </c>
      <c r="D309" s="49">
        <v>410</v>
      </c>
      <c r="E309" s="50">
        <v>1100</v>
      </c>
      <c r="F309" s="48" t="s">
        <v>15</v>
      </c>
      <c r="G309" s="51">
        <v>2.2999999999999998</v>
      </c>
      <c r="H309" s="51">
        <v>4.6500000000000004</v>
      </c>
      <c r="I309" s="51">
        <v>0</v>
      </c>
      <c r="J309" s="52">
        <f t="shared" ref="J309" si="828">(IF(F309="SELL",G309-H309,IF(F309="BUY",H309-G309)))*E309</f>
        <v>2585.0000000000005</v>
      </c>
      <c r="K309" s="52">
        <v>0</v>
      </c>
      <c r="L309" s="53">
        <f t="shared" ref="L309" si="829">(K309+J309)/E309</f>
        <v>2.3500000000000005</v>
      </c>
      <c r="M309" s="53">
        <f t="shared" ref="M309" si="830">L309*E309</f>
        <v>2585.0000000000005</v>
      </c>
    </row>
    <row r="310" spans="1:49" ht="15" customHeight="1">
      <c r="A310" s="47">
        <v>43705</v>
      </c>
      <c r="B310" s="48" t="s">
        <v>95</v>
      </c>
      <c r="C310" s="49" t="s">
        <v>14</v>
      </c>
      <c r="D310" s="49">
        <v>145</v>
      </c>
      <c r="E310" s="50">
        <v>6000</v>
      </c>
      <c r="F310" s="48" t="s">
        <v>15</v>
      </c>
      <c r="G310" s="51">
        <v>3</v>
      </c>
      <c r="H310" s="51">
        <v>4.5</v>
      </c>
      <c r="I310" s="51">
        <v>5</v>
      </c>
      <c r="J310" s="52">
        <f t="shared" ref="J310" si="831">(IF(F310="SELL",G310-H310,IF(F310="BUY",H310-G310)))*E310</f>
        <v>9000</v>
      </c>
      <c r="K310" s="52">
        <f>E310*0.5</f>
        <v>3000</v>
      </c>
      <c r="L310" s="53">
        <f t="shared" ref="L310" si="832">(K310+J310)/E310</f>
        <v>2</v>
      </c>
      <c r="M310" s="53">
        <f t="shared" ref="M310" si="833">L310*E310</f>
        <v>12000</v>
      </c>
    </row>
    <row r="311" spans="1:49" ht="15" customHeight="1">
      <c r="A311" s="47">
        <v>43705</v>
      </c>
      <c r="B311" s="48" t="s">
        <v>108</v>
      </c>
      <c r="C311" s="49" t="s">
        <v>14</v>
      </c>
      <c r="D311" s="49">
        <v>70</v>
      </c>
      <c r="E311" s="50">
        <v>7000</v>
      </c>
      <c r="F311" s="48" t="s">
        <v>15</v>
      </c>
      <c r="G311" s="51">
        <v>3.5</v>
      </c>
      <c r="H311" s="51">
        <v>4</v>
      </c>
      <c r="I311" s="51">
        <v>0</v>
      </c>
      <c r="J311" s="52">
        <f t="shared" ref="J311" si="834">(IF(F311="SELL",G311-H311,IF(F311="BUY",H311-G311)))*E311</f>
        <v>3500</v>
      </c>
      <c r="K311" s="52">
        <v>0</v>
      </c>
      <c r="L311" s="53">
        <f t="shared" ref="L311" si="835">(K311+J311)/E311</f>
        <v>0.5</v>
      </c>
      <c r="M311" s="53">
        <f t="shared" ref="M311" si="836">L311*E311</f>
        <v>3500</v>
      </c>
    </row>
    <row r="312" spans="1:49" ht="15" customHeight="1">
      <c r="A312" s="47">
        <v>43704</v>
      </c>
      <c r="B312" s="48" t="s">
        <v>133</v>
      </c>
      <c r="C312" s="49" t="s">
        <v>16</v>
      </c>
      <c r="D312" s="49">
        <v>590</v>
      </c>
      <c r="E312" s="50">
        <v>1250</v>
      </c>
      <c r="F312" s="48" t="s">
        <v>15</v>
      </c>
      <c r="G312" s="51">
        <v>13</v>
      </c>
      <c r="H312" s="51">
        <v>16</v>
      </c>
      <c r="I312" s="51">
        <v>0</v>
      </c>
      <c r="J312" s="52">
        <f t="shared" ref="J312" si="837">(IF(F312="SELL",G312-H312,IF(F312="BUY",H312-G312)))*E312</f>
        <v>3750</v>
      </c>
      <c r="K312" s="52">
        <v>0</v>
      </c>
      <c r="L312" s="53">
        <f t="shared" ref="L312" si="838">(K312+J312)/E312</f>
        <v>3</v>
      </c>
      <c r="M312" s="53">
        <f t="shared" ref="M312" si="839">L312*E312</f>
        <v>3750</v>
      </c>
    </row>
    <row r="313" spans="1:49" ht="15" customHeight="1">
      <c r="A313" s="47">
        <v>43703</v>
      </c>
      <c r="B313" s="48" t="s">
        <v>95</v>
      </c>
      <c r="C313" s="49" t="s">
        <v>14</v>
      </c>
      <c r="D313" s="49">
        <v>142.5</v>
      </c>
      <c r="E313" s="50">
        <v>6000</v>
      </c>
      <c r="F313" s="48" t="s">
        <v>15</v>
      </c>
      <c r="G313" s="51">
        <v>3.5</v>
      </c>
      <c r="H313" s="51">
        <v>5</v>
      </c>
      <c r="I313" s="51">
        <v>0</v>
      </c>
      <c r="J313" s="52">
        <f t="shared" ref="J313" si="840">(IF(F313="SELL",G313-H313,IF(F313="BUY",H313-G313)))*E313</f>
        <v>9000</v>
      </c>
      <c r="K313" s="52">
        <v>0</v>
      </c>
      <c r="L313" s="53">
        <f t="shared" ref="L313" si="841">(K313+J313)/E313</f>
        <v>1.5</v>
      </c>
      <c r="M313" s="53">
        <f t="shared" ref="M313" si="842">L313*E313</f>
        <v>9000</v>
      </c>
    </row>
    <row r="314" spans="1:49" ht="15" customHeight="1">
      <c r="A314" s="47">
        <v>43700</v>
      </c>
      <c r="B314" s="48" t="s">
        <v>132</v>
      </c>
      <c r="C314" s="49" t="s">
        <v>14</v>
      </c>
      <c r="D314" s="49">
        <v>385</v>
      </c>
      <c r="E314" s="50">
        <v>2600</v>
      </c>
      <c r="F314" s="48" t="s">
        <v>15</v>
      </c>
      <c r="G314" s="51">
        <v>5</v>
      </c>
      <c r="H314" s="51">
        <v>7.25</v>
      </c>
      <c r="I314" s="51">
        <v>0</v>
      </c>
      <c r="J314" s="52">
        <f t="shared" ref="J314" si="843">(IF(F314="SELL",G314-H314,IF(F314="BUY",H314-G314)))*E314</f>
        <v>5850</v>
      </c>
      <c r="K314" s="52">
        <v>0</v>
      </c>
      <c r="L314" s="53">
        <f t="shared" ref="L314" si="844">(K314+J314)/E314</f>
        <v>2.25</v>
      </c>
      <c r="M314" s="53">
        <f t="shared" ref="M314" si="845">L314*E314</f>
        <v>5850</v>
      </c>
    </row>
    <row r="315" spans="1:49" ht="15" customHeight="1">
      <c r="A315" s="47">
        <v>43699</v>
      </c>
      <c r="B315" s="48" t="s">
        <v>103</v>
      </c>
      <c r="C315" s="49" t="s">
        <v>14</v>
      </c>
      <c r="D315" s="49">
        <v>100</v>
      </c>
      <c r="E315" s="50">
        <v>4500</v>
      </c>
      <c r="F315" s="48" t="s">
        <v>15</v>
      </c>
      <c r="G315" s="51">
        <v>5.9</v>
      </c>
      <c r="H315" s="51">
        <v>7.5</v>
      </c>
      <c r="I315" s="51">
        <v>8.35</v>
      </c>
      <c r="J315" s="52">
        <f t="shared" ref="J315" si="846">(IF(F315="SELL",G315-H315,IF(F315="BUY",H315-G315)))*E315</f>
        <v>7199.9999999999982</v>
      </c>
      <c r="K315" s="52">
        <f>E315*0.85</f>
        <v>3825</v>
      </c>
      <c r="L315" s="53">
        <f t="shared" ref="L315" si="847">(K315+J315)/E315</f>
        <v>2.4499999999999997</v>
      </c>
      <c r="M315" s="53">
        <f t="shared" ref="M315" si="848">L315*E315</f>
        <v>11024.999999999998</v>
      </c>
    </row>
    <row r="316" spans="1:49" ht="15" customHeight="1">
      <c r="A316" s="47">
        <v>43699</v>
      </c>
      <c r="B316" s="48" t="s">
        <v>131</v>
      </c>
      <c r="C316" s="49" t="s">
        <v>14</v>
      </c>
      <c r="D316" s="49">
        <v>325</v>
      </c>
      <c r="E316" s="50">
        <v>2750</v>
      </c>
      <c r="F316" s="48" t="s">
        <v>15</v>
      </c>
      <c r="G316" s="51">
        <v>9.6</v>
      </c>
      <c r="H316" s="51">
        <v>9.1999999999999993</v>
      </c>
      <c r="I316" s="51">
        <v>0</v>
      </c>
      <c r="J316" s="52">
        <f t="shared" ref="J316" si="849">(IF(F316="SELL",G316-H316,IF(F316="BUY",H316-G316)))*E316</f>
        <v>-1100.0000000000009</v>
      </c>
      <c r="K316" s="52">
        <v>0</v>
      </c>
      <c r="L316" s="53">
        <f t="shared" ref="L316" si="850">(K316+J316)/E316</f>
        <v>-0.40000000000000036</v>
      </c>
      <c r="M316" s="53">
        <f t="shared" ref="M316" si="851">L316*E316</f>
        <v>-1100.0000000000009</v>
      </c>
    </row>
    <row r="317" spans="1:49" ht="15" customHeight="1">
      <c r="A317" s="47">
        <v>43698</v>
      </c>
      <c r="B317" s="48" t="s">
        <v>115</v>
      </c>
      <c r="C317" s="49" t="s">
        <v>14</v>
      </c>
      <c r="D317" s="49">
        <v>530</v>
      </c>
      <c r="E317" s="50">
        <v>900</v>
      </c>
      <c r="F317" s="48" t="s">
        <v>15</v>
      </c>
      <c r="G317" s="51">
        <v>14</v>
      </c>
      <c r="H317" s="51">
        <v>23</v>
      </c>
      <c r="I317" s="51">
        <v>0</v>
      </c>
      <c r="J317" s="52">
        <f t="shared" ref="J317" si="852">(IF(F317="SELL",G317-H317,IF(F317="BUY",H317-G317)))*E317</f>
        <v>8100</v>
      </c>
      <c r="K317" s="52">
        <v>0</v>
      </c>
      <c r="L317" s="53">
        <f t="shared" ref="L317" si="853">(K317+J317)/E317</f>
        <v>9</v>
      </c>
      <c r="M317" s="53">
        <f t="shared" ref="M317" si="854">L317*E317</f>
        <v>8100</v>
      </c>
    </row>
    <row r="318" spans="1:49" ht="15" customHeight="1">
      <c r="A318" s="47">
        <v>43698</v>
      </c>
      <c r="B318" s="48" t="s">
        <v>119</v>
      </c>
      <c r="C318" s="49" t="s">
        <v>14</v>
      </c>
      <c r="D318" s="49">
        <v>127.5</v>
      </c>
      <c r="E318" s="50">
        <v>5334</v>
      </c>
      <c r="F318" s="48" t="s">
        <v>15</v>
      </c>
      <c r="G318" s="51">
        <v>4.75</v>
      </c>
      <c r="H318" s="51">
        <v>5.6</v>
      </c>
      <c r="I318" s="51">
        <v>0</v>
      </c>
      <c r="J318" s="52">
        <f t="shared" ref="J318" si="855">(IF(F318="SELL",G318-H318,IF(F318="BUY",H318-G318)))*E318</f>
        <v>4533.8999999999978</v>
      </c>
      <c r="K318" s="52">
        <v>0</v>
      </c>
      <c r="L318" s="53">
        <f t="shared" ref="L318" si="856">(K318+J318)/E318</f>
        <v>0.84999999999999964</v>
      </c>
      <c r="M318" s="53">
        <f t="shared" ref="M318" si="857">L318*E318</f>
        <v>4533.8999999999978</v>
      </c>
    </row>
    <row r="319" spans="1:49" ht="15" customHeight="1">
      <c r="A319" s="47">
        <v>43697</v>
      </c>
      <c r="B319" s="48" t="s">
        <v>108</v>
      </c>
      <c r="C319" s="49" t="s">
        <v>14</v>
      </c>
      <c r="D319" s="49">
        <v>67.5</v>
      </c>
      <c r="E319" s="50">
        <v>7000</v>
      </c>
      <c r="F319" s="48" t="s">
        <v>15</v>
      </c>
      <c r="G319" s="51">
        <v>2.5</v>
      </c>
      <c r="H319" s="51">
        <v>3.5</v>
      </c>
      <c r="I319" s="51">
        <v>0</v>
      </c>
      <c r="J319" s="52">
        <f t="shared" ref="J319" si="858">(IF(F319="SELL",G319-H319,IF(F319="BUY",H319-G319)))*E319</f>
        <v>7000</v>
      </c>
      <c r="K319" s="52">
        <v>0</v>
      </c>
      <c r="L319" s="53">
        <f t="shared" ref="L319" si="859">(K319+J319)/E319</f>
        <v>1</v>
      </c>
      <c r="M319" s="53">
        <f t="shared" ref="M319" si="860">L319*E319</f>
        <v>7000</v>
      </c>
      <c r="N319" s="16"/>
      <c r="O319" s="16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4"/>
      <c r="AR319" s="14"/>
      <c r="AS319" s="14"/>
      <c r="AT319" s="14"/>
      <c r="AU319" s="14"/>
      <c r="AV319" s="14"/>
      <c r="AW319" s="14"/>
    </row>
    <row r="320" spans="1:49" ht="15" customHeight="1">
      <c r="A320" s="47">
        <v>43696</v>
      </c>
      <c r="B320" s="48" t="s">
        <v>93</v>
      </c>
      <c r="C320" s="49" t="s">
        <v>14</v>
      </c>
      <c r="D320" s="49">
        <v>70</v>
      </c>
      <c r="E320" s="50">
        <v>8000</v>
      </c>
      <c r="F320" s="48" t="s">
        <v>15</v>
      </c>
      <c r="G320" s="51">
        <v>7.9</v>
      </c>
      <c r="H320" s="51">
        <v>9</v>
      </c>
      <c r="I320" s="51">
        <v>0</v>
      </c>
      <c r="J320" s="52">
        <f t="shared" ref="J320" si="861">(IF(F320="SELL",G320-H320,IF(F320="BUY",H320-G320)))*E320</f>
        <v>8799.9999999999964</v>
      </c>
      <c r="K320" s="52">
        <v>0</v>
      </c>
      <c r="L320" s="53">
        <f t="shared" ref="L320" si="862">(K320+J320)/E320</f>
        <v>1.0999999999999996</v>
      </c>
      <c r="M320" s="53">
        <f t="shared" ref="M320" si="863">L320*E320</f>
        <v>8799.9999999999964</v>
      </c>
      <c r="N320" s="16"/>
      <c r="O320" s="16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4"/>
      <c r="AR320" s="14"/>
      <c r="AS320" s="14"/>
      <c r="AT320" s="14"/>
      <c r="AU320" s="14"/>
      <c r="AV320" s="14"/>
      <c r="AW320" s="14"/>
    </row>
    <row r="321" spans="1:49" ht="15" customHeight="1">
      <c r="A321" s="47">
        <v>43696</v>
      </c>
      <c r="B321" s="48" t="s">
        <v>95</v>
      </c>
      <c r="C321" s="49" t="s">
        <v>14</v>
      </c>
      <c r="D321" s="49">
        <v>150</v>
      </c>
      <c r="E321" s="50">
        <v>6000</v>
      </c>
      <c r="F321" s="48" t="s">
        <v>15</v>
      </c>
      <c r="G321" s="51">
        <v>5.2</v>
      </c>
      <c r="H321" s="51">
        <v>5.6</v>
      </c>
      <c r="I321" s="51">
        <v>0</v>
      </c>
      <c r="J321" s="52">
        <f t="shared" ref="J321" si="864">(IF(F321="SELL",G321-H321,IF(F321="BUY",H321-G321)))*E321</f>
        <v>2399.9999999999968</v>
      </c>
      <c r="K321" s="52">
        <v>0</v>
      </c>
      <c r="L321" s="53">
        <f t="shared" ref="L321" si="865">(K321+J321)/E321</f>
        <v>0.39999999999999947</v>
      </c>
      <c r="M321" s="53">
        <f t="shared" ref="M321" si="866">L321*E321</f>
        <v>2399.9999999999968</v>
      </c>
      <c r="N321" s="16"/>
      <c r="O321" s="16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4"/>
      <c r="AR321" s="14"/>
      <c r="AS321" s="14"/>
      <c r="AT321" s="14"/>
      <c r="AU321" s="14"/>
      <c r="AV321" s="14"/>
      <c r="AW321" s="14"/>
    </row>
    <row r="322" spans="1:49" ht="15" customHeight="1">
      <c r="A322" s="47">
        <v>43693</v>
      </c>
      <c r="B322" s="48" t="s">
        <v>95</v>
      </c>
      <c r="C322" s="49" t="s">
        <v>16</v>
      </c>
      <c r="D322" s="49">
        <v>142.5</v>
      </c>
      <c r="E322" s="50">
        <v>6000</v>
      </c>
      <c r="F322" s="48" t="s">
        <v>15</v>
      </c>
      <c r="G322" s="51">
        <v>5</v>
      </c>
      <c r="H322" s="51">
        <v>6.3</v>
      </c>
      <c r="I322" s="51">
        <v>7</v>
      </c>
      <c r="J322" s="52">
        <f t="shared" ref="J322:J326" si="867">(IF(F322="SELL",G322-H322,IF(F322="BUY",H322-G322)))*E322</f>
        <v>7799.9999999999991</v>
      </c>
      <c r="K322" s="52">
        <f>E322*0.7</f>
        <v>4200</v>
      </c>
      <c r="L322" s="53">
        <f t="shared" ref="L322:L326" si="868">(K322+J322)/E322</f>
        <v>2</v>
      </c>
      <c r="M322" s="53">
        <f t="shared" ref="M322:M326" si="869">L322*E322</f>
        <v>12000</v>
      </c>
      <c r="N322" s="16"/>
      <c r="O322" s="16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4"/>
      <c r="AR322" s="14"/>
      <c r="AS322" s="14"/>
      <c r="AT322" s="14"/>
      <c r="AU322" s="14"/>
      <c r="AV322" s="14"/>
      <c r="AW322" s="14"/>
    </row>
    <row r="323" spans="1:49" ht="15" customHeight="1">
      <c r="A323" s="47">
        <v>43693</v>
      </c>
      <c r="B323" s="48" t="s">
        <v>93</v>
      </c>
      <c r="C323" s="49" t="s">
        <v>14</v>
      </c>
      <c r="D323" s="49">
        <v>70</v>
      </c>
      <c r="E323" s="50">
        <v>8000</v>
      </c>
      <c r="F323" s="48" t="s">
        <v>15</v>
      </c>
      <c r="G323" s="51">
        <v>7</v>
      </c>
      <c r="H323" s="51">
        <v>7.8</v>
      </c>
      <c r="I323" s="51">
        <v>0</v>
      </c>
      <c r="J323" s="52">
        <f t="shared" si="867"/>
        <v>6399.9999999999982</v>
      </c>
      <c r="K323" s="52">
        <v>0</v>
      </c>
      <c r="L323" s="53">
        <f t="shared" si="868"/>
        <v>0.79999999999999982</v>
      </c>
      <c r="M323" s="53">
        <f t="shared" si="869"/>
        <v>6399.9999999999982</v>
      </c>
      <c r="N323" s="16"/>
      <c r="O323" s="16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4"/>
      <c r="AR323" s="14"/>
      <c r="AS323" s="14"/>
      <c r="AT323" s="14"/>
      <c r="AU323" s="14"/>
      <c r="AV323" s="14"/>
      <c r="AW323" s="14"/>
    </row>
    <row r="324" spans="1:49" ht="15" customHeight="1">
      <c r="A324" s="47">
        <v>43693</v>
      </c>
      <c r="B324" s="48" t="s">
        <v>72</v>
      </c>
      <c r="C324" s="49" t="s">
        <v>14</v>
      </c>
      <c r="D324" s="49">
        <v>340</v>
      </c>
      <c r="E324" s="50">
        <v>1800</v>
      </c>
      <c r="F324" s="48" t="s">
        <v>15</v>
      </c>
      <c r="G324" s="51">
        <v>8.5</v>
      </c>
      <c r="H324" s="51">
        <v>6.75</v>
      </c>
      <c r="I324" s="51">
        <v>0</v>
      </c>
      <c r="J324" s="52">
        <f t="shared" si="867"/>
        <v>-3150</v>
      </c>
      <c r="K324" s="52">
        <v>0</v>
      </c>
      <c r="L324" s="53">
        <f t="shared" si="868"/>
        <v>-1.75</v>
      </c>
      <c r="M324" s="53">
        <f t="shared" si="869"/>
        <v>-3150</v>
      </c>
      <c r="N324" s="16"/>
      <c r="O324" s="16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4"/>
      <c r="AR324" s="14"/>
      <c r="AS324" s="14"/>
      <c r="AT324" s="14"/>
      <c r="AU324" s="14"/>
      <c r="AV324" s="14"/>
      <c r="AW324" s="14"/>
    </row>
    <row r="325" spans="1:49" ht="15" customHeight="1">
      <c r="A325" s="47">
        <v>43690</v>
      </c>
      <c r="B325" s="48" t="s">
        <v>130</v>
      </c>
      <c r="C325" s="49" t="s">
        <v>14</v>
      </c>
      <c r="D325" s="49">
        <v>350</v>
      </c>
      <c r="E325" s="50">
        <v>1851</v>
      </c>
      <c r="F325" s="48" t="s">
        <v>15</v>
      </c>
      <c r="G325" s="51">
        <v>11</v>
      </c>
      <c r="H325" s="51">
        <v>5</v>
      </c>
      <c r="I325" s="51">
        <v>0</v>
      </c>
      <c r="J325" s="52">
        <f t="shared" si="867"/>
        <v>-11106</v>
      </c>
      <c r="K325" s="52">
        <v>0</v>
      </c>
      <c r="L325" s="53">
        <f t="shared" si="868"/>
        <v>-6</v>
      </c>
      <c r="M325" s="53">
        <f t="shared" si="869"/>
        <v>-11106</v>
      </c>
      <c r="N325" s="16"/>
      <c r="O325" s="16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4"/>
      <c r="AR325" s="14"/>
      <c r="AS325" s="14"/>
      <c r="AT325" s="14"/>
      <c r="AU325" s="14"/>
      <c r="AV325" s="14"/>
      <c r="AW325" s="14"/>
    </row>
    <row r="326" spans="1:49" ht="15" customHeight="1">
      <c r="A326" s="47">
        <v>43690</v>
      </c>
      <c r="B326" s="48" t="s">
        <v>93</v>
      </c>
      <c r="C326" s="49" t="s">
        <v>14</v>
      </c>
      <c r="D326" s="49">
        <v>72.5</v>
      </c>
      <c r="E326" s="50">
        <v>8000</v>
      </c>
      <c r="F326" s="48" t="s">
        <v>15</v>
      </c>
      <c r="G326" s="51">
        <v>8</v>
      </c>
      <c r="H326" s="51">
        <v>10</v>
      </c>
      <c r="I326" s="51">
        <v>0</v>
      </c>
      <c r="J326" s="52">
        <f t="shared" si="867"/>
        <v>16000</v>
      </c>
      <c r="K326" s="52">
        <v>0</v>
      </c>
      <c r="L326" s="53">
        <f t="shared" si="868"/>
        <v>2</v>
      </c>
      <c r="M326" s="53">
        <f t="shared" si="869"/>
        <v>16000</v>
      </c>
      <c r="N326" s="16"/>
      <c r="O326" s="16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4"/>
      <c r="AR326" s="14"/>
      <c r="AS326" s="14"/>
      <c r="AT326" s="14"/>
      <c r="AU326" s="14"/>
      <c r="AV326" s="14"/>
      <c r="AW326" s="14"/>
    </row>
    <row r="327" spans="1:49" ht="15" customHeight="1">
      <c r="A327" s="47">
        <v>43686</v>
      </c>
      <c r="B327" s="48" t="s">
        <v>52</v>
      </c>
      <c r="C327" s="49" t="s">
        <v>16</v>
      </c>
      <c r="D327" s="49">
        <v>1040</v>
      </c>
      <c r="E327" s="50">
        <v>750</v>
      </c>
      <c r="F327" s="48" t="s">
        <v>15</v>
      </c>
      <c r="G327" s="51">
        <v>40</v>
      </c>
      <c r="H327" s="51">
        <v>44</v>
      </c>
      <c r="I327" s="51">
        <v>0</v>
      </c>
      <c r="J327" s="52">
        <f t="shared" ref="J327" si="870">(IF(F327="SELL",G327-H327,IF(F327="BUY",H327-G327)))*E327</f>
        <v>3000</v>
      </c>
      <c r="K327" s="52">
        <v>0</v>
      </c>
      <c r="L327" s="53">
        <f t="shared" ref="L327" si="871">(K327+J327)/E327</f>
        <v>4</v>
      </c>
      <c r="M327" s="53">
        <f t="shared" ref="M327" si="872">L327*E327</f>
        <v>3000</v>
      </c>
      <c r="N327" s="16"/>
      <c r="O327" s="16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4"/>
      <c r="AR327" s="14"/>
      <c r="AS327" s="14"/>
      <c r="AT327" s="14"/>
      <c r="AU327" s="14"/>
      <c r="AV327" s="14"/>
      <c r="AW327" s="14"/>
    </row>
    <row r="328" spans="1:49" ht="15" customHeight="1">
      <c r="A328" s="47">
        <v>43685</v>
      </c>
      <c r="B328" s="48" t="s">
        <v>105</v>
      </c>
      <c r="C328" s="49" t="s">
        <v>16</v>
      </c>
      <c r="D328" s="49">
        <v>720</v>
      </c>
      <c r="E328" s="50">
        <v>750</v>
      </c>
      <c r="F328" s="48" t="s">
        <v>15</v>
      </c>
      <c r="G328" s="51">
        <v>23.6</v>
      </c>
      <c r="H328" s="51">
        <v>10</v>
      </c>
      <c r="I328" s="51">
        <v>0</v>
      </c>
      <c r="J328" s="52">
        <f t="shared" ref="J328" si="873">(IF(F328="SELL",G328-H328,IF(F328="BUY",H328-G328)))*E328</f>
        <v>-10200.000000000002</v>
      </c>
      <c r="K328" s="52">
        <v>0</v>
      </c>
      <c r="L328" s="53">
        <f t="shared" ref="L328" si="874">(K328+J328)/E328</f>
        <v>-13.600000000000003</v>
      </c>
      <c r="M328" s="53">
        <f t="shared" ref="M328" si="875">L328*E328</f>
        <v>-10200.000000000002</v>
      </c>
      <c r="N328" s="16"/>
      <c r="O328" s="16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4"/>
      <c r="AR328" s="14"/>
      <c r="AS328" s="14"/>
      <c r="AT328" s="14"/>
      <c r="AU328" s="14"/>
      <c r="AV328" s="14"/>
      <c r="AW328" s="14"/>
    </row>
    <row r="329" spans="1:49" ht="15" customHeight="1">
      <c r="A329" s="47">
        <v>43685</v>
      </c>
      <c r="B329" s="48" t="s">
        <v>94</v>
      </c>
      <c r="C329" s="49" t="s">
        <v>16</v>
      </c>
      <c r="D329" s="49">
        <v>1520</v>
      </c>
      <c r="E329" s="50">
        <v>600</v>
      </c>
      <c r="F329" s="48" t="s">
        <v>15</v>
      </c>
      <c r="G329" s="51">
        <v>55</v>
      </c>
      <c r="H329" s="51">
        <v>43</v>
      </c>
      <c r="I329" s="51">
        <v>0</v>
      </c>
      <c r="J329" s="52">
        <f t="shared" ref="J329" si="876">(IF(F329="SELL",G329-H329,IF(F329="BUY",H329-G329)))*E329</f>
        <v>-7200</v>
      </c>
      <c r="K329" s="52">
        <v>0</v>
      </c>
      <c r="L329" s="53">
        <f t="shared" ref="L329" si="877">(K329+J329)/E329</f>
        <v>-12</v>
      </c>
      <c r="M329" s="53">
        <f t="shared" ref="M329" si="878">L329*E329</f>
        <v>-7200</v>
      </c>
      <c r="N329" s="16"/>
      <c r="O329" s="16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4"/>
      <c r="AR329" s="14"/>
      <c r="AS329" s="14"/>
      <c r="AT329" s="14"/>
      <c r="AU329" s="14"/>
      <c r="AV329" s="14"/>
      <c r="AW329" s="14"/>
    </row>
    <row r="330" spans="1:49" ht="15" customHeight="1">
      <c r="A330" s="47">
        <v>43683</v>
      </c>
      <c r="B330" s="48" t="s">
        <v>26</v>
      </c>
      <c r="C330" s="49" t="s">
        <v>16</v>
      </c>
      <c r="D330" s="49">
        <v>650</v>
      </c>
      <c r="E330" s="50">
        <v>1200</v>
      </c>
      <c r="F330" s="48" t="s">
        <v>15</v>
      </c>
      <c r="G330" s="51">
        <v>23</v>
      </c>
      <c r="H330" s="51">
        <v>30</v>
      </c>
      <c r="I330" s="51">
        <v>0</v>
      </c>
      <c r="J330" s="52">
        <f t="shared" ref="J330" si="879">(IF(F330="SELL",G330-H330,IF(F330="BUY",H330-G330)))*E330</f>
        <v>8400</v>
      </c>
      <c r="K330" s="52">
        <v>0</v>
      </c>
      <c r="L330" s="53">
        <f t="shared" ref="L330" si="880">(K330+J330)/E330</f>
        <v>7</v>
      </c>
      <c r="M330" s="53">
        <f t="shared" ref="M330" si="881">L330*E330</f>
        <v>8400</v>
      </c>
      <c r="N330" s="16"/>
      <c r="O330" s="16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4"/>
      <c r="AR330" s="14"/>
      <c r="AS330" s="14"/>
      <c r="AT330" s="14"/>
      <c r="AU330" s="14"/>
      <c r="AV330" s="14"/>
      <c r="AW330" s="14"/>
    </row>
    <row r="331" spans="1:49" ht="15" customHeight="1">
      <c r="A331" s="47">
        <v>43682</v>
      </c>
      <c r="B331" s="48" t="s">
        <v>126</v>
      </c>
      <c r="C331" s="49" t="s">
        <v>16</v>
      </c>
      <c r="D331" s="49">
        <v>2220</v>
      </c>
      <c r="E331" s="50">
        <v>250</v>
      </c>
      <c r="F331" s="48" t="s">
        <v>15</v>
      </c>
      <c r="G331" s="51">
        <v>70</v>
      </c>
      <c r="H331" s="51">
        <v>71.7</v>
      </c>
      <c r="I331" s="51">
        <v>0</v>
      </c>
      <c r="J331" s="52">
        <f t="shared" ref="J331" si="882">(IF(F331="SELL",G331-H331,IF(F331="BUY",H331-G331)))*E331</f>
        <v>425.00000000000068</v>
      </c>
      <c r="K331" s="52">
        <v>0</v>
      </c>
      <c r="L331" s="53">
        <f t="shared" ref="L331" si="883">(K331+J331)/E331</f>
        <v>1.7000000000000026</v>
      </c>
      <c r="M331" s="53">
        <f t="shared" ref="M331" si="884">L331*E331</f>
        <v>425.00000000000068</v>
      </c>
      <c r="N331" s="16"/>
      <c r="O331" s="16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4"/>
      <c r="AR331" s="14"/>
      <c r="AS331" s="14"/>
      <c r="AT331" s="14"/>
      <c r="AU331" s="14"/>
      <c r="AV331" s="14"/>
      <c r="AW331" s="14"/>
    </row>
    <row r="332" spans="1:49" ht="15" customHeight="1">
      <c r="A332" s="47">
        <v>43679</v>
      </c>
      <c r="B332" s="48" t="s">
        <v>129</v>
      </c>
      <c r="C332" s="49" t="s">
        <v>16</v>
      </c>
      <c r="D332" s="49">
        <v>550</v>
      </c>
      <c r="E332" s="50">
        <v>1000</v>
      </c>
      <c r="F332" s="48" t="s">
        <v>15</v>
      </c>
      <c r="G332" s="51">
        <v>20.5</v>
      </c>
      <c r="H332" s="51">
        <v>26.65</v>
      </c>
      <c r="I332" s="51">
        <v>0</v>
      </c>
      <c r="J332" s="52">
        <f t="shared" ref="J332" si="885">(IF(F332="SELL",G332-H332,IF(F332="BUY",H332-G332)))*E332</f>
        <v>6149.9999999999982</v>
      </c>
      <c r="K332" s="52">
        <v>0</v>
      </c>
      <c r="L332" s="53">
        <f t="shared" ref="L332" si="886">(K332+J332)/E332</f>
        <v>6.1499999999999986</v>
      </c>
      <c r="M332" s="53">
        <f t="shared" ref="M332" si="887">L332*E332</f>
        <v>6149.9999999999982</v>
      </c>
      <c r="N332" s="16"/>
      <c r="O332" s="16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4"/>
      <c r="AR332" s="14"/>
      <c r="AS332" s="14"/>
      <c r="AT332" s="14"/>
      <c r="AU332" s="14"/>
      <c r="AV332" s="14"/>
      <c r="AW332" s="14"/>
    </row>
    <row r="333" spans="1:49" ht="15" customHeight="1">
      <c r="A333" s="47">
        <v>43678</v>
      </c>
      <c r="B333" s="48" t="s">
        <v>125</v>
      </c>
      <c r="C333" s="49" t="s">
        <v>123</v>
      </c>
      <c r="D333" s="49">
        <v>250</v>
      </c>
      <c r="E333" s="50">
        <v>2700</v>
      </c>
      <c r="F333" s="48" t="s">
        <v>15</v>
      </c>
      <c r="G333" s="51">
        <v>17.2</v>
      </c>
      <c r="H333" s="51">
        <v>14.2</v>
      </c>
      <c r="I333" s="51">
        <v>0</v>
      </c>
      <c r="J333" s="52">
        <f t="shared" ref="J333" si="888">(IF(F333="SELL",G333-H333,IF(F333="BUY",H333-G333)))*E333</f>
        <v>-8100</v>
      </c>
      <c r="K333" s="52">
        <v>0</v>
      </c>
      <c r="L333" s="53">
        <f t="shared" ref="L333" si="889">(K333+J333)/E333</f>
        <v>-3</v>
      </c>
      <c r="M333" s="53">
        <f t="shared" ref="M333" si="890">L333*E333</f>
        <v>-8100</v>
      </c>
      <c r="N333" s="16"/>
      <c r="O333" s="16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4"/>
      <c r="AR333" s="14"/>
      <c r="AS333" s="14"/>
      <c r="AT333" s="14"/>
      <c r="AU333" s="14"/>
      <c r="AV333" s="14"/>
      <c r="AW333" s="14"/>
    </row>
    <row r="334" spans="1:49" ht="15" customHeight="1">
      <c r="A334" s="47">
        <v>43677</v>
      </c>
      <c r="B334" s="48" t="s">
        <v>127</v>
      </c>
      <c r="C334" s="49" t="s">
        <v>123</v>
      </c>
      <c r="D334" s="49">
        <v>460</v>
      </c>
      <c r="E334" s="50">
        <v>800</v>
      </c>
      <c r="F334" s="48" t="s">
        <v>15</v>
      </c>
      <c r="G334" s="51">
        <v>46</v>
      </c>
      <c r="H334" s="51">
        <v>32.5</v>
      </c>
      <c r="I334" s="51">
        <v>0</v>
      </c>
      <c r="J334" s="52">
        <f t="shared" ref="J334" si="891">(IF(F334="SELL",G334-H334,IF(F334="BUY",H334-G334)))*E334</f>
        <v>-10800</v>
      </c>
      <c r="K334" s="52">
        <v>0</v>
      </c>
      <c r="L334" s="53">
        <f t="shared" ref="L334" si="892">(K334+J334)/E334</f>
        <v>-13.5</v>
      </c>
      <c r="M334" s="53">
        <f t="shared" ref="M334" si="893">L334*E334</f>
        <v>-10800</v>
      </c>
      <c r="N334" s="16"/>
      <c r="O334" s="16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4"/>
      <c r="AR334" s="14"/>
      <c r="AS334" s="14"/>
      <c r="AT334" s="14"/>
      <c r="AU334" s="14"/>
      <c r="AV334" s="14"/>
      <c r="AW334" s="14"/>
    </row>
    <row r="335" spans="1:49" ht="15" customHeight="1">
      <c r="A335" s="47">
        <v>43676</v>
      </c>
      <c r="B335" s="48" t="s">
        <v>128</v>
      </c>
      <c r="C335" s="49" t="s">
        <v>123</v>
      </c>
      <c r="D335" s="49">
        <v>230</v>
      </c>
      <c r="E335" s="50">
        <v>2200</v>
      </c>
      <c r="F335" s="48" t="s">
        <v>15</v>
      </c>
      <c r="G335" s="51">
        <v>25.5</v>
      </c>
      <c r="H335" s="51">
        <v>29</v>
      </c>
      <c r="I335" s="51">
        <v>31.1</v>
      </c>
      <c r="J335" s="52">
        <f t="shared" ref="J335" si="894">(IF(F335="SELL",G335-H335,IF(F335="BUY",H335-G335)))*E335</f>
        <v>7700</v>
      </c>
      <c r="K335" s="52">
        <f>E335*2.1</f>
        <v>4620</v>
      </c>
      <c r="L335" s="53">
        <f t="shared" ref="L335" si="895">(K335+J335)/E335</f>
        <v>5.6</v>
      </c>
      <c r="M335" s="53">
        <f t="shared" ref="M335" si="896">L335*E335</f>
        <v>12320</v>
      </c>
      <c r="N335" s="16"/>
      <c r="O335" s="16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4"/>
      <c r="AR335" s="14"/>
      <c r="AS335" s="14"/>
      <c r="AT335" s="14"/>
      <c r="AU335" s="14"/>
      <c r="AV335" s="14"/>
      <c r="AW335" s="14"/>
    </row>
    <row r="336" spans="1:49" ht="15" customHeight="1">
      <c r="A336" s="47">
        <v>43676</v>
      </c>
      <c r="B336" s="48" t="s">
        <v>124</v>
      </c>
      <c r="C336" s="49" t="s">
        <v>123</v>
      </c>
      <c r="D336" s="49">
        <v>160</v>
      </c>
      <c r="E336" s="50">
        <v>3000</v>
      </c>
      <c r="F336" s="48" t="s">
        <v>15</v>
      </c>
      <c r="G336" s="51">
        <v>24.3</v>
      </c>
      <c r="H336" s="51">
        <v>24.3</v>
      </c>
      <c r="I336" s="51">
        <v>0</v>
      </c>
      <c r="J336" s="52">
        <f t="shared" ref="J336" si="897">(IF(F336="SELL",G336-H336,IF(F336="BUY",H336-G336)))*E336</f>
        <v>0</v>
      </c>
      <c r="K336" s="52">
        <v>0</v>
      </c>
      <c r="L336" s="53">
        <f t="shared" ref="L336" si="898">(K336+J336)/E336</f>
        <v>0</v>
      </c>
      <c r="M336" s="53">
        <f t="shared" ref="M336" si="899">L336*E336</f>
        <v>0</v>
      </c>
      <c r="N336" s="16"/>
      <c r="O336" s="16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4"/>
      <c r="AR336" s="14"/>
      <c r="AS336" s="14"/>
      <c r="AT336" s="14"/>
      <c r="AU336" s="14"/>
      <c r="AV336" s="14"/>
      <c r="AW336" s="14"/>
    </row>
    <row r="337" spans="1:49" ht="15" customHeight="1">
      <c r="A337" s="54">
        <v>43672</v>
      </c>
      <c r="B337" s="48" t="s">
        <v>122</v>
      </c>
      <c r="C337" s="49" t="s">
        <v>123</v>
      </c>
      <c r="D337" s="49">
        <v>77.5</v>
      </c>
      <c r="E337" s="50">
        <v>6000</v>
      </c>
      <c r="F337" s="48" t="s">
        <v>15</v>
      </c>
      <c r="G337" s="51">
        <v>7.2</v>
      </c>
      <c r="H337" s="51">
        <v>7.25</v>
      </c>
      <c r="I337" s="51">
        <v>0</v>
      </c>
      <c r="J337" s="52">
        <f t="shared" ref="J337" si="900">(IF(F337="SELL",G337-H337,IF(F337="BUY",H337-G337)))*E337</f>
        <v>299.99999999999892</v>
      </c>
      <c r="K337" s="52">
        <v>0</v>
      </c>
      <c r="L337" s="53">
        <f t="shared" ref="L337" si="901">(K337+J337)/E337</f>
        <v>4.9999999999999822E-2</v>
      </c>
      <c r="M337" s="53">
        <f t="shared" ref="M337" si="902">L337*E337</f>
        <v>299.99999999999892</v>
      </c>
      <c r="N337" s="16"/>
      <c r="O337" s="16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4"/>
      <c r="AR337" s="14"/>
      <c r="AS337" s="14"/>
      <c r="AT337" s="14"/>
      <c r="AU337" s="14"/>
      <c r="AV337" s="14"/>
      <c r="AW337" s="14"/>
    </row>
    <row r="338" spans="1:49" ht="15" customHeight="1">
      <c r="A338" s="54">
        <v>43672</v>
      </c>
      <c r="B338" s="48" t="s">
        <v>121</v>
      </c>
      <c r="C338" s="49" t="s">
        <v>16</v>
      </c>
      <c r="D338" s="49">
        <v>3200</v>
      </c>
      <c r="E338" s="50">
        <v>250</v>
      </c>
      <c r="F338" s="48" t="s">
        <v>15</v>
      </c>
      <c r="G338" s="51">
        <v>155</v>
      </c>
      <c r="H338" s="51">
        <v>180</v>
      </c>
      <c r="I338" s="51">
        <v>0</v>
      </c>
      <c r="J338" s="52">
        <f t="shared" ref="J338" si="903">(IF(F338="SELL",G338-H338,IF(F338="BUY",H338-G338)))*E338</f>
        <v>6250</v>
      </c>
      <c r="K338" s="52">
        <v>0</v>
      </c>
      <c r="L338" s="53">
        <f t="shared" ref="L338" si="904">(K338+J338)/E338</f>
        <v>25</v>
      </c>
      <c r="M338" s="53">
        <f t="shared" ref="M338" si="905">L338*E338</f>
        <v>6250</v>
      </c>
      <c r="N338" s="17"/>
      <c r="O338" s="17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4"/>
      <c r="AR338" s="14"/>
      <c r="AS338" s="14"/>
      <c r="AT338" s="14"/>
      <c r="AU338" s="14"/>
      <c r="AV338" s="14"/>
      <c r="AW338" s="14"/>
    </row>
    <row r="339" spans="1:49" ht="15" customHeight="1">
      <c r="A339" s="54">
        <v>43670</v>
      </c>
      <c r="B339" s="48" t="s">
        <v>120</v>
      </c>
      <c r="C339" s="49" t="s">
        <v>14</v>
      </c>
      <c r="D339" s="49">
        <v>420</v>
      </c>
      <c r="E339" s="50">
        <v>1000</v>
      </c>
      <c r="F339" s="48" t="s">
        <v>15</v>
      </c>
      <c r="G339" s="51">
        <v>6</v>
      </c>
      <c r="H339" s="51">
        <v>6.85</v>
      </c>
      <c r="I339" s="51">
        <v>0</v>
      </c>
      <c r="J339" s="52">
        <f t="shared" ref="J339" si="906">(IF(F339="SELL",G339-H339,IF(F339="BUY",H339-G339)))*E339</f>
        <v>849.99999999999966</v>
      </c>
      <c r="K339" s="52">
        <v>0</v>
      </c>
      <c r="L339" s="53">
        <f t="shared" ref="L339" si="907">(K339+J339)/E339</f>
        <v>0.84999999999999964</v>
      </c>
      <c r="M339" s="53">
        <f t="shared" ref="M339" si="908">L339*E339</f>
        <v>849.99999999999966</v>
      </c>
      <c r="N339" s="15"/>
      <c r="O339" s="15"/>
    </row>
    <row r="340" spans="1:49" ht="15" customHeight="1">
      <c r="A340" s="54">
        <v>43669</v>
      </c>
      <c r="B340" s="48" t="s">
        <v>95</v>
      </c>
      <c r="C340" s="49" t="s">
        <v>14</v>
      </c>
      <c r="D340" s="49">
        <v>150</v>
      </c>
      <c r="E340" s="50">
        <v>6000</v>
      </c>
      <c r="F340" s="48" t="s">
        <v>15</v>
      </c>
      <c r="G340" s="51">
        <v>3</v>
      </c>
      <c r="H340" s="51">
        <v>3</v>
      </c>
      <c r="I340" s="51">
        <v>0</v>
      </c>
      <c r="J340" s="52">
        <f t="shared" ref="J340" si="909">(IF(F340="SELL",G340-H340,IF(F340="BUY",H340-G340)))*E340</f>
        <v>0</v>
      </c>
      <c r="K340" s="52">
        <v>0</v>
      </c>
      <c r="L340" s="53">
        <f t="shared" ref="L340" si="910">(K340+J340)/E340</f>
        <v>0</v>
      </c>
      <c r="M340" s="53">
        <f t="shared" ref="M340" si="911">L340*E340</f>
        <v>0</v>
      </c>
    </row>
    <row r="341" spans="1:49" ht="15" customHeight="1">
      <c r="A341" s="54">
        <v>43668</v>
      </c>
      <c r="B341" s="48" t="s">
        <v>102</v>
      </c>
      <c r="C341" s="49" t="s">
        <v>14</v>
      </c>
      <c r="D341" s="49">
        <v>720</v>
      </c>
      <c r="E341" s="50">
        <v>1400</v>
      </c>
      <c r="F341" s="48" t="s">
        <v>15</v>
      </c>
      <c r="G341" s="51">
        <v>20</v>
      </c>
      <c r="H341" s="51">
        <v>26</v>
      </c>
      <c r="I341" s="51">
        <v>0</v>
      </c>
      <c r="J341" s="52">
        <f t="shared" ref="J341" si="912">(IF(F341="SELL",G341-H341,IF(F341="BUY",H341-G341)))*E341</f>
        <v>8400</v>
      </c>
      <c r="K341" s="52">
        <v>0</v>
      </c>
      <c r="L341" s="53">
        <f t="shared" ref="L341" si="913">(K341+J341)/E341</f>
        <v>6</v>
      </c>
      <c r="M341" s="53">
        <f t="shared" ref="M341" si="914">L341*E341</f>
        <v>8400</v>
      </c>
    </row>
    <row r="342" spans="1:49" ht="15" customHeight="1">
      <c r="A342" s="54">
        <v>43664</v>
      </c>
      <c r="B342" s="48" t="s">
        <v>52</v>
      </c>
      <c r="C342" s="49" t="s">
        <v>14</v>
      </c>
      <c r="D342" s="49">
        <v>1100</v>
      </c>
      <c r="E342" s="50">
        <v>750</v>
      </c>
      <c r="F342" s="48" t="s">
        <v>15</v>
      </c>
      <c r="G342" s="51">
        <v>21</v>
      </c>
      <c r="H342" s="51">
        <v>30</v>
      </c>
      <c r="I342" s="51">
        <v>45</v>
      </c>
      <c r="J342" s="52">
        <f t="shared" ref="J342:J343" si="915">(IF(F342="SELL",G342-H342,IF(F342="BUY",H342-G342)))*E342</f>
        <v>6750</v>
      </c>
      <c r="K342" s="52">
        <f>E342*15</f>
        <v>11250</v>
      </c>
      <c r="L342" s="53">
        <f t="shared" ref="L342:L343" si="916">(K342+J342)/E342</f>
        <v>24</v>
      </c>
      <c r="M342" s="53">
        <f t="shared" ref="M342:M343" si="917">L342*E342</f>
        <v>18000</v>
      </c>
    </row>
    <row r="343" spans="1:49" ht="15" customHeight="1">
      <c r="A343" s="54">
        <v>43663</v>
      </c>
      <c r="B343" s="48" t="s">
        <v>119</v>
      </c>
      <c r="C343" s="49" t="s">
        <v>14</v>
      </c>
      <c r="D343" s="49">
        <v>140</v>
      </c>
      <c r="E343" s="50">
        <v>5334</v>
      </c>
      <c r="F343" s="48" t="s">
        <v>15</v>
      </c>
      <c r="G343" s="51">
        <v>1.5</v>
      </c>
      <c r="H343" s="51">
        <v>1.25</v>
      </c>
      <c r="I343" s="51">
        <v>0</v>
      </c>
      <c r="J343" s="52">
        <f t="shared" si="915"/>
        <v>-1333.5</v>
      </c>
      <c r="K343" s="52">
        <v>0</v>
      </c>
      <c r="L343" s="53">
        <f t="shared" si="916"/>
        <v>-0.25</v>
      </c>
      <c r="M343" s="53">
        <f t="shared" si="917"/>
        <v>-1333.5</v>
      </c>
    </row>
    <row r="344" spans="1:49" ht="15" customHeight="1">
      <c r="A344" s="54">
        <v>43662</v>
      </c>
      <c r="B344" s="48" t="s">
        <v>102</v>
      </c>
      <c r="C344" s="49" t="s">
        <v>14</v>
      </c>
      <c r="D344" s="49">
        <v>740</v>
      </c>
      <c r="E344" s="50">
        <v>1400</v>
      </c>
      <c r="F344" s="48" t="s">
        <v>15</v>
      </c>
      <c r="G344" s="51">
        <v>26</v>
      </c>
      <c r="H344" s="51">
        <v>32</v>
      </c>
      <c r="I344" s="51">
        <v>0</v>
      </c>
      <c r="J344" s="52">
        <f t="shared" ref="J344" si="918">(IF(F344="SELL",G344-H344,IF(F344="BUY",H344-G344)))*E344</f>
        <v>8400</v>
      </c>
      <c r="K344" s="52">
        <v>0</v>
      </c>
      <c r="L344" s="53">
        <f t="shared" ref="L344" si="919">(K344+J344)/E344</f>
        <v>6</v>
      </c>
      <c r="M344" s="53">
        <f t="shared" ref="M344" si="920">L344*E344</f>
        <v>8400</v>
      </c>
    </row>
    <row r="345" spans="1:49" ht="15" customHeight="1">
      <c r="A345" s="54">
        <v>43661</v>
      </c>
      <c r="B345" s="48" t="s">
        <v>118</v>
      </c>
      <c r="C345" s="49" t="s">
        <v>14</v>
      </c>
      <c r="D345" s="49">
        <v>600</v>
      </c>
      <c r="E345" s="50">
        <v>1200</v>
      </c>
      <c r="F345" s="48" t="s">
        <v>15</v>
      </c>
      <c r="G345" s="51">
        <v>14</v>
      </c>
      <c r="H345" s="51">
        <v>15</v>
      </c>
      <c r="I345" s="51">
        <v>0</v>
      </c>
      <c r="J345" s="52">
        <f t="shared" ref="J345:J346" si="921">(IF(F345="SELL",G345-H345,IF(F345="BUY",H345-G345)))*E345</f>
        <v>1200</v>
      </c>
      <c r="K345" s="52">
        <v>0</v>
      </c>
      <c r="L345" s="53">
        <f t="shared" ref="L345:L346" si="922">(K345+J345)/E345</f>
        <v>1</v>
      </c>
      <c r="M345" s="53">
        <f t="shared" ref="M345:M346" si="923">L345*E345</f>
        <v>1200</v>
      </c>
    </row>
    <row r="346" spans="1:49" ht="15" customHeight="1">
      <c r="A346" s="54">
        <v>43661</v>
      </c>
      <c r="B346" s="48" t="s">
        <v>115</v>
      </c>
      <c r="C346" s="49" t="s">
        <v>14</v>
      </c>
      <c r="D346" s="49">
        <v>620</v>
      </c>
      <c r="E346" s="50">
        <v>900</v>
      </c>
      <c r="F346" s="48" t="s">
        <v>15</v>
      </c>
      <c r="G346" s="51">
        <v>15</v>
      </c>
      <c r="H346" s="51">
        <v>7</v>
      </c>
      <c r="I346" s="51">
        <v>0</v>
      </c>
      <c r="J346" s="52">
        <f t="shared" si="921"/>
        <v>-7200</v>
      </c>
      <c r="K346" s="52">
        <v>0</v>
      </c>
      <c r="L346" s="53">
        <f t="shared" si="922"/>
        <v>-8</v>
      </c>
      <c r="M346" s="53">
        <f t="shared" si="923"/>
        <v>-7200</v>
      </c>
    </row>
    <row r="347" spans="1:49" ht="15" customHeight="1">
      <c r="A347" s="54">
        <v>43658</v>
      </c>
      <c r="B347" s="48" t="s">
        <v>88</v>
      </c>
      <c r="C347" s="49" t="s">
        <v>16</v>
      </c>
      <c r="D347" s="49">
        <v>1380</v>
      </c>
      <c r="E347" s="50">
        <v>700</v>
      </c>
      <c r="F347" s="48" t="s">
        <v>15</v>
      </c>
      <c r="G347" s="51">
        <v>23</v>
      </c>
      <c r="H347" s="51">
        <v>33</v>
      </c>
      <c r="I347" s="51">
        <v>0</v>
      </c>
      <c r="J347" s="52">
        <f t="shared" ref="J347" si="924">(IF(F347="SELL",G347-H347,IF(F347="BUY",H347-G347)))*E347</f>
        <v>7000</v>
      </c>
      <c r="K347" s="52">
        <v>0</v>
      </c>
      <c r="L347" s="53">
        <f t="shared" ref="L347" si="925">(K347+J347)/E347</f>
        <v>10</v>
      </c>
      <c r="M347" s="53">
        <f t="shared" ref="M347" si="926">L347*E347</f>
        <v>7000</v>
      </c>
    </row>
    <row r="348" spans="1:49" ht="15" customHeight="1">
      <c r="A348" s="54">
        <v>43657</v>
      </c>
      <c r="B348" s="48" t="s">
        <v>117</v>
      </c>
      <c r="C348" s="49" t="s">
        <v>14</v>
      </c>
      <c r="D348" s="49">
        <v>760</v>
      </c>
      <c r="E348" s="50">
        <v>700</v>
      </c>
      <c r="F348" s="48" t="s">
        <v>15</v>
      </c>
      <c r="G348" s="51">
        <v>20</v>
      </c>
      <c r="H348" s="51">
        <v>19.850000000000001</v>
      </c>
      <c r="I348" s="51">
        <v>0</v>
      </c>
      <c r="J348" s="52">
        <f t="shared" ref="J348" si="927">(IF(F348="SELL",G348-H348,IF(F348="BUY",H348-G348)))*E348</f>
        <v>-104.99999999999901</v>
      </c>
      <c r="K348" s="52">
        <v>0</v>
      </c>
      <c r="L348" s="53">
        <f t="shared" ref="L348" si="928">(K348+J348)/E348</f>
        <v>-0.14999999999999858</v>
      </c>
      <c r="M348" s="53">
        <f t="shared" ref="M348" si="929">L348*E348</f>
        <v>-104.99999999999901</v>
      </c>
    </row>
    <row r="349" spans="1:49" ht="15" customHeight="1">
      <c r="A349" s="54">
        <v>43656</v>
      </c>
      <c r="B349" s="48" t="s">
        <v>90</v>
      </c>
      <c r="C349" s="49" t="s">
        <v>14</v>
      </c>
      <c r="D349" s="49">
        <v>125</v>
      </c>
      <c r="E349" s="50">
        <v>6200</v>
      </c>
      <c r="F349" s="48" t="s">
        <v>15</v>
      </c>
      <c r="G349" s="51">
        <v>3.9</v>
      </c>
      <c r="H349" s="51">
        <v>3.9</v>
      </c>
      <c r="I349" s="51">
        <v>0</v>
      </c>
      <c r="J349" s="52">
        <f t="shared" ref="J349:J350" si="930">(IF(F349="SELL",G349-H349,IF(F349="BUY",H349-G349)))*E349</f>
        <v>0</v>
      </c>
      <c r="K349" s="52">
        <v>0</v>
      </c>
      <c r="L349" s="53">
        <f t="shared" ref="L349:L350" si="931">(K349+J349)/E349</f>
        <v>0</v>
      </c>
      <c r="M349" s="53">
        <f t="shared" ref="M349:M350" si="932">L349*E349</f>
        <v>0</v>
      </c>
    </row>
    <row r="350" spans="1:49" ht="15" customHeight="1">
      <c r="A350" s="54">
        <v>43656</v>
      </c>
      <c r="B350" s="48" t="s">
        <v>115</v>
      </c>
      <c r="C350" s="49" t="s">
        <v>14</v>
      </c>
      <c r="D350" s="49">
        <v>620</v>
      </c>
      <c r="E350" s="50">
        <v>900</v>
      </c>
      <c r="F350" s="48" t="s">
        <v>15</v>
      </c>
      <c r="G350" s="51">
        <v>15</v>
      </c>
      <c r="H350" s="51">
        <v>11</v>
      </c>
      <c r="I350" s="51">
        <v>0</v>
      </c>
      <c r="J350" s="52">
        <f t="shared" si="930"/>
        <v>-3600</v>
      </c>
      <c r="K350" s="52">
        <v>0</v>
      </c>
      <c r="L350" s="53">
        <f t="shared" si="931"/>
        <v>-4</v>
      </c>
      <c r="M350" s="53">
        <f t="shared" si="932"/>
        <v>-3600</v>
      </c>
    </row>
    <row r="351" spans="1:49" ht="15" customHeight="1">
      <c r="A351" s="54">
        <v>43655</v>
      </c>
      <c r="B351" s="48" t="s">
        <v>102</v>
      </c>
      <c r="C351" s="49" t="s">
        <v>14</v>
      </c>
      <c r="D351" s="49">
        <v>740</v>
      </c>
      <c r="E351" s="50">
        <v>1400</v>
      </c>
      <c r="F351" s="48" t="s">
        <v>15</v>
      </c>
      <c r="G351" s="51">
        <v>25</v>
      </c>
      <c r="H351" s="51">
        <v>30</v>
      </c>
      <c r="I351" s="51">
        <v>0</v>
      </c>
      <c r="J351" s="52">
        <f t="shared" ref="J351" si="933">(IF(F351="SELL",G351-H351,IF(F351="BUY",H351-G351)))*E351</f>
        <v>7000</v>
      </c>
      <c r="K351" s="52">
        <v>0</v>
      </c>
      <c r="L351" s="53">
        <f t="shared" ref="L351" si="934">(K351+J351)/E351</f>
        <v>5</v>
      </c>
      <c r="M351" s="53">
        <f t="shared" ref="M351" si="935">L351*E351</f>
        <v>7000</v>
      </c>
    </row>
    <row r="352" spans="1:49" ht="15" customHeight="1">
      <c r="A352" s="54">
        <v>43654</v>
      </c>
      <c r="B352" s="48" t="s">
        <v>85</v>
      </c>
      <c r="C352" s="49" t="s">
        <v>16</v>
      </c>
      <c r="D352" s="49">
        <v>590</v>
      </c>
      <c r="E352" s="50">
        <v>1250</v>
      </c>
      <c r="F352" s="48" t="s">
        <v>15</v>
      </c>
      <c r="G352" s="51">
        <v>12</v>
      </c>
      <c r="H352" s="51">
        <v>9.15</v>
      </c>
      <c r="I352" s="51">
        <v>0</v>
      </c>
      <c r="J352" s="52">
        <f t="shared" ref="J352" si="936">(IF(F352="SELL",G352-H352,IF(F352="BUY",H352-G352)))*E352</f>
        <v>-3562.4999999999995</v>
      </c>
      <c r="K352" s="52">
        <v>0</v>
      </c>
      <c r="L352" s="53">
        <f t="shared" ref="L352" si="937">(K352+J352)/E352</f>
        <v>-2.8499999999999996</v>
      </c>
      <c r="M352" s="53">
        <f t="shared" ref="M352" si="938">L352*E352</f>
        <v>-3562.4999999999995</v>
      </c>
    </row>
    <row r="353" spans="1:13" ht="15" customHeight="1">
      <c r="A353" s="54">
        <v>43651</v>
      </c>
      <c r="B353" s="48" t="s">
        <v>116</v>
      </c>
      <c r="C353" s="49" t="s">
        <v>14</v>
      </c>
      <c r="D353" s="49">
        <v>170</v>
      </c>
      <c r="E353" s="50">
        <v>3000</v>
      </c>
      <c r="F353" s="48" t="s">
        <v>15</v>
      </c>
      <c r="G353" s="51">
        <v>7</v>
      </c>
      <c r="H353" s="51">
        <v>6.8</v>
      </c>
      <c r="I353" s="51">
        <v>0</v>
      </c>
      <c r="J353" s="52">
        <f t="shared" ref="J353" si="939">(IF(F353="SELL",G353-H353,IF(F353="BUY",H353-G353)))*E353</f>
        <v>-600.00000000000057</v>
      </c>
      <c r="K353" s="52">
        <v>0</v>
      </c>
      <c r="L353" s="53">
        <f t="shared" ref="L353" si="940">(K353+J353)/E353</f>
        <v>-0.20000000000000018</v>
      </c>
      <c r="M353" s="53">
        <f t="shared" ref="M353" si="941">L353*E353</f>
        <v>-600.00000000000057</v>
      </c>
    </row>
    <row r="354" spans="1:13" ht="15" customHeight="1">
      <c r="A354" s="54">
        <v>43650</v>
      </c>
      <c r="B354" s="48" t="s">
        <v>115</v>
      </c>
      <c r="C354" s="49" t="s">
        <v>16</v>
      </c>
      <c r="D354" s="49">
        <v>670</v>
      </c>
      <c r="E354" s="50">
        <v>900</v>
      </c>
      <c r="F354" s="48" t="s">
        <v>15</v>
      </c>
      <c r="G354" s="51">
        <v>22</v>
      </c>
      <c r="H354" s="51">
        <v>30</v>
      </c>
      <c r="I354" s="51">
        <v>40</v>
      </c>
      <c r="J354" s="52">
        <f t="shared" ref="J354" si="942">(IF(F354="SELL",G354-H354,IF(F354="BUY",H354-G354)))*E354</f>
        <v>7200</v>
      </c>
      <c r="K354" s="52">
        <f>E354*10</f>
        <v>9000</v>
      </c>
      <c r="L354" s="53">
        <f t="shared" ref="L354" si="943">(K354+J354)/E354</f>
        <v>18</v>
      </c>
      <c r="M354" s="53">
        <f t="shared" ref="M354" si="944">L354*E354</f>
        <v>16200</v>
      </c>
    </row>
    <row r="355" spans="1:13" ht="15" customHeight="1">
      <c r="A355" s="54">
        <v>43649</v>
      </c>
      <c r="B355" s="48" t="s">
        <v>114</v>
      </c>
      <c r="C355" s="49" t="s">
        <v>16</v>
      </c>
      <c r="D355" s="49">
        <v>155</v>
      </c>
      <c r="E355" s="50">
        <v>4000</v>
      </c>
      <c r="F355" s="48" t="s">
        <v>15</v>
      </c>
      <c r="G355" s="51">
        <v>11.25</v>
      </c>
      <c r="H355" s="51">
        <v>11.7</v>
      </c>
      <c r="I355" s="51">
        <v>0</v>
      </c>
      <c r="J355" s="52">
        <f t="shared" ref="J355" si="945">(IF(F355="SELL",G355-H355,IF(F355="BUY",H355-G355)))*E355</f>
        <v>1799.9999999999973</v>
      </c>
      <c r="K355" s="52">
        <v>0</v>
      </c>
      <c r="L355" s="53">
        <f t="shared" ref="L355" si="946">(K355+J355)/E355</f>
        <v>0.44999999999999934</v>
      </c>
      <c r="M355" s="53">
        <f t="shared" ref="M355" si="947">L355*E355</f>
        <v>1799.9999999999973</v>
      </c>
    </row>
    <row r="356" spans="1:13" ht="15" customHeight="1">
      <c r="A356" s="54">
        <v>43648</v>
      </c>
      <c r="B356" s="48" t="s">
        <v>113</v>
      </c>
      <c r="C356" s="49" t="s">
        <v>14</v>
      </c>
      <c r="D356" s="49">
        <v>270</v>
      </c>
      <c r="E356" s="50">
        <v>2000</v>
      </c>
      <c r="F356" s="48" t="s">
        <v>15</v>
      </c>
      <c r="G356" s="51">
        <v>10</v>
      </c>
      <c r="H356" s="51">
        <v>7.55</v>
      </c>
      <c r="I356" s="51">
        <v>0</v>
      </c>
      <c r="J356" s="52">
        <f t="shared" ref="J356" si="948">(IF(F356="SELL",G356-H356,IF(F356="BUY",H356-G356)))*E356</f>
        <v>-4900</v>
      </c>
      <c r="K356" s="52">
        <v>0</v>
      </c>
      <c r="L356" s="53">
        <f t="shared" ref="L356" si="949">(K356+J356)/E356</f>
        <v>-2.4500000000000002</v>
      </c>
      <c r="M356" s="53">
        <f t="shared" ref="M356" si="950">L356*E356</f>
        <v>-4900</v>
      </c>
    </row>
    <row r="357" spans="1:13" ht="15" customHeight="1">
      <c r="A357" s="54">
        <v>43647</v>
      </c>
      <c r="B357" s="48" t="s">
        <v>112</v>
      </c>
      <c r="C357" s="49" t="s">
        <v>14</v>
      </c>
      <c r="D357" s="49">
        <v>155</v>
      </c>
      <c r="E357" s="50">
        <v>3500</v>
      </c>
      <c r="F357" s="48" t="s">
        <v>15</v>
      </c>
      <c r="G357" s="51">
        <v>5</v>
      </c>
      <c r="H357" s="51">
        <v>7</v>
      </c>
      <c r="I357" s="51">
        <v>0</v>
      </c>
      <c r="J357" s="52">
        <f t="shared" ref="J357" si="951">(IF(F357="SELL",G357-H357,IF(F357="BUY",H357-G357)))*E357</f>
        <v>7000</v>
      </c>
      <c r="K357" s="52">
        <v>0</v>
      </c>
      <c r="L357" s="53">
        <f t="shared" ref="L357" si="952">(K357+J357)/E357</f>
        <v>2</v>
      </c>
      <c r="M357" s="53">
        <f t="shared" ref="M357" si="953">L357*E357</f>
        <v>7000</v>
      </c>
    </row>
    <row r="358" spans="1:13" ht="15" customHeight="1">
      <c r="A358" s="54">
        <v>43644</v>
      </c>
      <c r="B358" s="48" t="s">
        <v>111</v>
      </c>
      <c r="C358" s="49" t="s">
        <v>14</v>
      </c>
      <c r="D358" s="49">
        <v>110</v>
      </c>
      <c r="E358" s="50">
        <v>2200</v>
      </c>
      <c r="F358" s="48" t="s">
        <v>15</v>
      </c>
      <c r="G358" s="51">
        <v>9</v>
      </c>
      <c r="H358" s="51">
        <v>9.1</v>
      </c>
      <c r="I358" s="51">
        <v>0</v>
      </c>
      <c r="J358" s="52">
        <f t="shared" ref="J358" si="954">(IF(F358="SELL",G358-H358,IF(F358="BUY",H358-G358)))*E358</f>
        <v>219.9999999999992</v>
      </c>
      <c r="K358" s="52">
        <v>0</v>
      </c>
      <c r="L358" s="53">
        <f t="shared" ref="L358" si="955">(K358+J358)/E358</f>
        <v>9.9999999999999645E-2</v>
      </c>
      <c r="M358" s="53">
        <f t="shared" ref="M358" si="956">L358*E358</f>
        <v>219.9999999999992</v>
      </c>
    </row>
    <row r="359" spans="1:13" ht="15" customHeight="1">
      <c r="A359" s="54">
        <v>43642</v>
      </c>
      <c r="B359" s="48" t="s">
        <v>110</v>
      </c>
      <c r="C359" s="49" t="s">
        <v>14</v>
      </c>
      <c r="D359" s="49">
        <v>420</v>
      </c>
      <c r="E359" s="50">
        <v>2500</v>
      </c>
      <c r="F359" s="48" t="s">
        <v>15</v>
      </c>
      <c r="G359" s="51">
        <v>1.75</v>
      </c>
      <c r="H359" s="51">
        <v>0.65</v>
      </c>
      <c r="I359" s="51">
        <v>0</v>
      </c>
      <c r="J359" s="52">
        <f t="shared" ref="J359" si="957">(IF(F359="SELL",G359-H359,IF(F359="BUY",H359-G359)))*E359</f>
        <v>-2750</v>
      </c>
      <c r="K359" s="52">
        <v>0</v>
      </c>
      <c r="L359" s="53">
        <f t="shared" ref="L359" si="958">(K359+J359)/E359</f>
        <v>-1.1000000000000001</v>
      </c>
      <c r="M359" s="53">
        <f t="shared" ref="M359" si="959">L359*E359</f>
        <v>-2750</v>
      </c>
    </row>
    <row r="360" spans="1:13" ht="15" customHeight="1">
      <c r="A360" s="54">
        <v>43640</v>
      </c>
      <c r="B360" s="48" t="s">
        <v>17</v>
      </c>
      <c r="C360" s="49" t="s">
        <v>14</v>
      </c>
      <c r="D360" s="49">
        <v>175</v>
      </c>
      <c r="E360" s="50">
        <v>2600</v>
      </c>
      <c r="F360" s="48" t="s">
        <v>15</v>
      </c>
      <c r="G360" s="51">
        <v>3.5</v>
      </c>
      <c r="H360" s="51">
        <v>2.75</v>
      </c>
      <c r="I360" s="51">
        <v>0</v>
      </c>
      <c r="J360" s="52">
        <f t="shared" ref="J360" si="960">(IF(F360="SELL",G360-H360,IF(F360="BUY",H360-G360)))*E360</f>
        <v>-1950</v>
      </c>
      <c r="K360" s="52">
        <v>0</v>
      </c>
      <c r="L360" s="53">
        <f t="shared" ref="L360" si="961">(K360+J360)/E360</f>
        <v>-0.75</v>
      </c>
      <c r="M360" s="53">
        <f t="shared" ref="M360" si="962">L360*E360</f>
        <v>-1950</v>
      </c>
    </row>
    <row r="361" spans="1:13" ht="15" customHeight="1">
      <c r="A361" s="54">
        <v>43634</v>
      </c>
      <c r="B361" s="48" t="s">
        <v>89</v>
      </c>
      <c r="C361" s="49" t="s">
        <v>14</v>
      </c>
      <c r="D361" s="49">
        <v>190</v>
      </c>
      <c r="E361" s="50">
        <v>3500</v>
      </c>
      <c r="F361" s="48" t="s">
        <v>15</v>
      </c>
      <c r="G361" s="51">
        <v>3.5</v>
      </c>
      <c r="H361" s="51">
        <v>3.5</v>
      </c>
      <c r="I361" s="51">
        <v>0</v>
      </c>
      <c r="J361" s="52">
        <f t="shared" ref="J361" si="963">(IF(F361="SELL",G361-H361,IF(F361="BUY",H361-G361)))*E361</f>
        <v>0</v>
      </c>
      <c r="K361" s="52">
        <v>0</v>
      </c>
      <c r="L361" s="53">
        <f t="shared" ref="L361" si="964">(K361+J361)/E361</f>
        <v>0</v>
      </c>
      <c r="M361" s="53">
        <f t="shared" ref="M361" si="965">L361*E361</f>
        <v>0</v>
      </c>
    </row>
    <row r="362" spans="1:13" ht="15" customHeight="1">
      <c r="A362" s="54">
        <v>43630</v>
      </c>
      <c r="B362" s="48" t="s">
        <v>109</v>
      </c>
      <c r="C362" s="49" t="s">
        <v>14</v>
      </c>
      <c r="D362" s="49">
        <v>120</v>
      </c>
      <c r="E362" s="50">
        <v>2850</v>
      </c>
      <c r="F362" s="48" t="s">
        <v>15</v>
      </c>
      <c r="G362" s="51">
        <v>2.5</v>
      </c>
      <c r="H362" s="51">
        <v>2.5</v>
      </c>
      <c r="I362" s="51">
        <v>0</v>
      </c>
      <c r="J362" s="52">
        <f t="shared" ref="J362" si="966">(IF(F362="SELL",G362-H362,IF(F362="BUY",H362-G362)))*E362</f>
        <v>0</v>
      </c>
      <c r="K362" s="52">
        <v>0</v>
      </c>
      <c r="L362" s="53">
        <f t="shared" ref="L362" si="967">(K362+J362)/E362</f>
        <v>0</v>
      </c>
      <c r="M362" s="53">
        <f t="shared" ref="M362" si="968">L362*E362</f>
        <v>0</v>
      </c>
    </row>
    <row r="363" spans="1:13" ht="15" customHeight="1">
      <c r="A363" s="54">
        <v>43629</v>
      </c>
      <c r="B363" s="48" t="s">
        <v>108</v>
      </c>
      <c r="C363" s="49" t="s">
        <v>14</v>
      </c>
      <c r="D363" s="49">
        <v>75</v>
      </c>
      <c r="E363" s="50">
        <v>7000</v>
      </c>
      <c r="F363" s="48" t="s">
        <v>15</v>
      </c>
      <c r="G363" s="51">
        <v>3.5</v>
      </c>
      <c r="H363" s="51">
        <v>2.5</v>
      </c>
      <c r="I363" s="51">
        <v>0</v>
      </c>
      <c r="J363" s="52">
        <f t="shared" ref="J363" si="969">(IF(F363="SELL",G363-H363,IF(F363="BUY",H363-G363)))*E363</f>
        <v>-7000</v>
      </c>
      <c r="K363" s="52">
        <v>0</v>
      </c>
      <c r="L363" s="53">
        <f t="shared" ref="L363" si="970">(K363+J363)/E363</f>
        <v>-1</v>
      </c>
      <c r="M363" s="53">
        <f t="shared" ref="M363" si="971">L363*E363</f>
        <v>-7000</v>
      </c>
    </row>
    <row r="364" spans="1:13" ht="15" customHeight="1">
      <c r="A364" s="54">
        <v>43628</v>
      </c>
      <c r="B364" s="48" t="s">
        <v>74</v>
      </c>
      <c r="C364" s="49" t="s">
        <v>14</v>
      </c>
      <c r="D364" s="49">
        <v>940</v>
      </c>
      <c r="E364" s="50">
        <v>700</v>
      </c>
      <c r="F364" s="48" t="s">
        <v>15</v>
      </c>
      <c r="G364" s="51">
        <v>33</v>
      </c>
      <c r="H364" s="51">
        <v>39</v>
      </c>
      <c r="I364" s="51">
        <v>0</v>
      </c>
      <c r="J364" s="52">
        <f t="shared" ref="J364" si="972">(IF(F364="SELL",G364-H364,IF(F364="BUY",H364-G364)))*E364</f>
        <v>4200</v>
      </c>
      <c r="K364" s="52">
        <v>0</v>
      </c>
      <c r="L364" s="53">
        <f t="shared" ref="L364" si="973">(K364+J364)/E364</f>
        <v>6</v>
      </c>
      <c r="M364" s="53">
        <f t="shared" ref="M364" si="974">L364*E364</f>
        <v>4200</v>
      </c>
    </row>
    <row r="365" spans="1:13" ht="15" customHeight="1">
      <c r="A365" s="54">
        <v>43627</v>
      </c>
      <c r="B365" s="48" t="s">
        <v>89</v>
      </c>
      <c r="C365" s="49" t="s">
        <v>107</v>
      </c>
      <c r="D365" s="49">
        <v>200</v>
      </c>
      <c r="E365" s="50">
        <v>3500</v>
      </c>
      <c r="F365" s="48" t="s">
        <v>15</v>
      </c>
      <c r="G365" s="51">
        <v>5.25</v>
      </c>
      <c r="H365" s="51">
        <v>4.75</v>
      </c>
      <c r="I365" s="51">
        <v>0</v>
      </c>
      <c r="J365" s="52">
        <f t="shared" ref="J365" si="975">(IF(F365="SELL",G365-H365,IF(F365="BUY",H365-G365)))*E365</f>
        <v>-1750</v>
      </c>
      <c r="K365" s="52">
        <v>0</v>
      </c>
      <c r="L365" s="53">
        <f t="shared" ref="L365" si="976">(K365+J365)/E365</f>
        <v>-0.5</v>
      </c>
      <c r="M365" s="53">
        <f t="shared" ref="M365" si="977">L365*E365</f>
        <v>-1750</v>
      </c>
    </row>
    <row r="366" spans="1:13" ht="15" customHeight="1">
      <c r="A366" s="54">
        <v>43622</v>
      </c>
      <c r="B366" s="48" t="s">
        <v>106</v>
      </c>
      <c r="C366" s="49" t="s">
        <v>14</v>
      </c>
      <c r="D366" s="49">
        <v>260</v>
      </c>
      <c r="E366" s="50">
        <v>2000</v>
      </c>
      <c r="F366" s="48" t="s">
        <v>15</v>
      </c>
      <c r="G366" s="51">
        <v>10.1</v>
      </c>
      <c r="H366" s="51">
        <v>10.199999999999999</v>
      </c>
      <c r="I366" s="51">
        <v>0</v>
      </c>
      <c r="J366" s="52">
        <f t="shared" ref="J366" si="978">(IF(F366="SELL",G366-H366,IF(F366="BUY",H366-G366)))*E366</f>
        <v>199.99999999999929</v>
      </c>
      <c r="K366" s="52">
        <v>0</v>
      </c>
      <c r="L366" s="53">
        <f t="shared" ref="L366" si="979">(K366+J366)/E366</f>
        <v>9.9999999999999645E-2</v>
      </c>
      <c r="M366" s="53">
        <f t="shared" ref="M366" si="980">L366*E366</f>
        <v>199.99999999999929</v>
      </c>
    </row>
    <row r="367" spans="1:13" ht="15" customHeight="1">
      <c r="A367" s="54">
        <v>43620</v>
      </c>
      <c r="B367" s="48" t="s">
        <v>86</v>
      </c>
      <c r="C367" s="49" t="s">
        <v>14</v>
      </c>
      <c r="D367" s="49">
        <v>230</v>
      </c>
      <c r="E367" s="50">
        <v>2500</v>
      </c>
      <c r="F367" s="48" t="s">
        <v>15</v>
      </c>
      <c r="G367" s="51">
        <v>6.75</v>
      </c>
      <c r="H367" s="51">
        <v>7.85</v>
      </c>
      <c r="I367" s="51">
        <v>0</v>
      </c>
      <c r="J367" s="52">
        <f t="shared" ref="J367" si="981">(IF(F367="SELL",G367-H367,IF(F367="BUY",H367-G367)))*E367</f>
        <v>2749.9999999999991</v>
      </c>
      <c r="K367" s="52">
        <v>0</v>
      </c>
      <c r="L367" s="53">
        <f t="shared" ref="L367" si="982">(K367+J367)/E367</f>
        <v>1.0999999999999996</v>
      </c>
      <c r="M367" s="53">
        <f t="shared" ref="M367" si="983">L367*E367</f>
        <v>2749.9999999999991</v>
      </c>
    </row>
    <row r="368" spans="1:13" ht="15" customHeight="1">
      <c r="A368" s="54">
        <v>43619</v>
      </c>
      <c r="B368" s="48" t="s">
        <v>102</v>
      </c>
      <c r="C368" s="49" t="s">
        <v>16</v>
      </c>
      <c r="D368" s="49">
        <v>750</v>
      </c>
      <c r="E368" s="50">
        <v>1400</v>
      </c>
      <c r="F368" s="48" t="s">
        <v>15</v>
      </c>
      <c r="G368" s="51">
        <v>18</v>
      </c>
      <c r="H368" s="51">
        <v>23</v>
      </c>
      <c r="I368" s="51">
        <v>0</v>
      </c>
      <c r="J368" s="52">
        <f t="shared" ref="J368" si="984">(IF(F368="SELL",G368-H368,IF(F368="BUY",H368-G368)))*E368</f>
        <v>7000</v>
      </c>
      <c r="K368" s="52">
        <v>0</v>
      </c>
      <c r="L368" s="53">
        <f t="shared" ref="L368" si="985">(K368+J368)/E368</f>
        <v>5</v>
      </c>
      <c r="M368" s="53">
        <f t="shared" ref="M368" si="986">L368*E368</f>
        <v>7000</v>
      </c>
    </row>
    <row r="369" spans="1:13" ht="15" customHeight="1">
      <c r="A369" s="54">
        <v>43614</v>
      </c>
      <c r="B369" s="48" t="s">
        <v>84</v>
      </c>
      <c r="C369" s="49" t="s">
        <v>14</v>
      </c>
      <c r="D369" s="49">
        <v>350</v>
      </c>
      <c r="E369" s="50">
        <v>3000</v>
      </c>
      <c r="F369" s="48" t="s">
        <v>15</v>
      </c>
      <c r="G369" s="51">
        <v>3.5</v>
      </c>
      <c r="H369" s="51">
        <v>2.9</v>
      </c>
      <c r="I369" s="51">
        <v>0</v>
      </c>
      <c r="J369" s="52">
        <f t="shared" ref="J369:J370" si="987">(IF(F369="SELL",G369-H369,IF(F369="BUY",H369-G369)))*E369</f>
        <v>-1800.0000000000002</v>
      </c>
      <c r="K369" s="52">
        <v>0</v>
      </c>
      <c r="L369" s="53">
        <f t="shared" ref="L369:L370" si="988">(K369+J369)/E369</f>
        <v>-0.60000000000000009</v>
      </c>
      <c r="M369" s="53">
        <f t="shared" ref="M369:M370" si="989">L369*E369</f>
        <v>-1800.0000000000002</v>
      </c>
    </row>
    <row r="370" spans="1:13" ht="15" customHeight="1">
      <c r="A370" s="54">
        <v>43613</v>
      </c>
      <c r="B370" s="48" t="s">
        <v>53</v>
      </c>
      <c r="C370" s="49" t="s">
        <v>16</v>
      </c>
      <c r="D370" s="49">
        <v>370</v>
      </c>
      <c r="E370" s="50">
        <v>1300</v>
      </c>
      <c r="F370" s="48" t="s">
        <v>15</v>
      </c>
      <c r="G370" s="51">
        <v>12.8</v>
      </c>
      <c r="H370" s="51">
        <v>11</v>
      </c>
      <c r="I370" s="51">
        <v>0</v>
      </c>
      <c r="J370" s="52">
        <f t="shared" si="987"/>
        <v>-2340.0000000000009</v>
      </c>
      <c r="K370" s="52">
        <v>0</v>
      </c>
      <c r="L370" s="53">
        <f t="shared" si="988"/>
        <v>-1.8000000000000007</v>
      </c>
      <c r="M370" s="53">
        <f t="shared" si="989"/>
        <v>-2340.0000000000009</v>
      </c>
    </row>
    <row r="371" spans="1:13" ht="15" customHeight="1">
      <c r="A371" s="54">
        <v>43612</v>
      </c>
      <c r="B371" s="48" t="s">
        <v>105</v>
      </c>
      <c r="C371" s="49" t="s">
        <v>16</v>
      </c>
      <c r="D371" s="49">
        <v>950</v>
      </c>
      <c r="E371" s="50">
        <v>750</v>
      </c>
      <c r="F371" s="48" t="s">
        <v>15</v>
      </c>
      <c r="G371" s="51">
        <v>18</v>
      </c>
      <c r="H371" s="51">
        <v>10</v>
      </c>
      <c r="I371" s="51">
        <v>0</v>
      </c>
      <c r="J371" s="52">
        <f t="shared" ref="J371" si="990">(IF(F371="SELL",G371-H371,IF(F371="BUY",H371-G371)))*E371</f>
        <v>-6000</v>
      </c>
      <c r="K371" s="52">
        <v>0</v>
      </c>
      <c r="L371" s="53">
        <f t="shared" ref="L371" si="991">(K371+J371)/E371</f>
        <v>-8</v>
      </c>
      <c r="M371" s="53">
        <f t="shared" ref="M371" si="992">L371*E371</f>
        <v>-6000</v>
      </c>
    </row>
    <row r="372" spans="1:13" ht="15" customHeight="1">
      <c r="A372" s="54">
        <v>43609</v>
      </c>
      <c r="B372" s="48" t="s">
        <v>84</v>
      </c>
      <c r="C372" s="49" t="s">
        <v>16</v>
      </c>
      <c r="D372" s="49">
        <v>350</v>
      </c>
      <c r="E372" s="50">
        <v>3000</v>
      </c>
      <c r="F372" s="48" t="s">
        <v>15</v>
      </c>
      <c r="G372" s="51">
        <v>6</v>
      </c>
      <c r="H372" s="51">
        <v>8</v>
      </c>
      <c r="I372" s="51">
        <v>0</v>
      </c>
      <c r="J372" s="52">
        <f t="shared" ref="J372" si="993">(IF(F372="SELL",G372-H372,IF(F372="BUY",H372-G372)))*E372</f>
        <v>6000</v>
      </c>
      <c r="K372" s="52">
        <v>0</v>
      </c>
      <c r="L372" s="53">
        <f t="shared" ref="L372" si="994">(K372+J372)/E372</f>
        <v>2</v>
      </c>
      <c r="M372" s="53">
        <f t="shared" ref="M372" si="995">L372*E372</f>
        <v>6000</v>
      </c>
    </row>
    <row r="373" spans="1:13" ht="15" customHeight="1">
      <c r="A373" s="54">
        <v>43609</v>
      </c>
      <c r="B373" s="48" t="s">
        <v>74</v>
      </c>
      <c r="C373" s="49" t="s">
        <v>16</v>
      </c>
      <c r="D373" s="49">
        <v>980</v>
      </c>
      <c r="E373" s="50">
        <v>700</v>
      </c>
      <c r="F373" s="48" t="s">
        <v>15</v>
      </c>
      <c r="G373" s="51">
        <v>27</v>
      </c>
      <c r="H373" s="51">
        <v>24</v>
      </c>
      <c r="I373" s="51">
        <v>0</v>
      </c>
      <c r="J373" s="52">
        <f t="shared" ref="J373" si="996">(IF(F373="SELL",G373-H373,IF(F373="BUY",H373-G373)))*E373</f>
        <v>-2100</v>
      </c>
      <c r="K373" s="52">
        <v>0</v>
      </c>
      <c r="L373" s="53">
        <f t="shared" ref="L373" si="997">(K373+J373)/E373</f>
        <v>-3</v>
      </c>
      <c r="M373" s="53">
        <f t="shared" ref="M373" si="998">L373*E373</f>
        <v>-2100</v>
      </c>
    </row>
    <row r="374" spans="1:13" ht="15" customHeight="1">
      <c r="A374" s="54">
        <v>43608</v>
      </c>
      <c r="B374" s="48" t="s">
        <v>104</v>
      </c>
      <c r="C374" s="49" t="s">
        <v>16</v>
      </c>
      <c r="D374" s="49">
        <v>270</v>
      </c>
      <c r="E374" s="50">
        <v>2000</v>
      </c>
      <c r="F374" s="48" t="s">
        <v>15</v>
      </c>
      <c r="G374" s="51">
        <v>13.5</v>
      </c>
      <c r="H374" s="51">
        <v>10</v>
      </c>
      <c r="I374" s="51">
        <v>0</v>
      </c>
      <c r="J374" s="52">
        <f t="shared" ref="J374" si="999">(IF(F374="SELL",G374-H374,IF(F374="BUY",H374-G374)))*E374</f>
        <v>-7000</v>
      </c>
      <c r="K374" s="52">
        <v>0</v>
      </c>
      <c r="L374" s="53">
        <f t="shared" ref="L374" si="1000">(K374+J374)/E374</f>
        <v>-3.5</v>
      </c>
      <c r="M374" s="53">
        <f t="shared" ref="M374" si="1001">L374*E374</f>
        <v>-7000</v>
      </c>
    </row>
    <row r="375" spans="1:13" ht="15" customHeight="1">
      <c r="A375" s="54">
        <v>43608</v>
      </c>
      <c r="B375" s="48" t="s">
        <v>17</v>
      </c>
      <c r="C375" s="49" t="s">
        <v>16</v>
      </c>
      <c r="D375" s="49">
        <v>180</v>
      </c>
      <c r="E375" s="50">
        <v>2600</v>
      </c>
      <c r="F375" s="48" t="s">
        <v>15</v>
      </c>
      <c r="G375" s="51">
        <v>7.5</v>
      </c>
      <c r="H375" s="51">
        <v>5.9</v>
      </c>
      <c r="I375" s="51">
        <v>0</v>
      </c>
      <c r="J375" s="52">
        <f t="shared" ref="J375" si="1002">(IF(F375="SELL",G375-H375,IF(F375="BUY",H375-G375)))*E375</f>
        <v>-4159.9999999999991</v>
      </c>
      <c r="K375" s="52">
        <v>0</v>
      </c>
      <c r="L375" s="53">
        <f t="shared" ref="L375" si="1003">(K375+J375)/E375</f>
        <v>-1.5999999999999996</v>
      </c>
      <c r="M375" s="53">
        <f t="shared" ref="M375" si="1004">L375*E375</f>
        <v>-4159.9999999999991</v>
      </c>
    </row>
    <row r="376" spans="1:13" ht="15" customHeight="1">
      <c r="A376" s="54">
        <v>43607</v>
      </c>
      <c r="B376" s="48" t="s">
        <v>103</v>
      </c>
      <c r="C376" s="49" t="s">
        <v>14</v>
      </c>
      <c r="D376" s="49">
        <v>120</v>
      </c>
      <c r="E376" s="50">
        <v>4500</v>
      </c>
      <c r="F376" s="48" t="s">
        <v>15</v>
      </c>
      <c r="G376" s="51">
        <v>5</v>
      </c>
      <c r="H376" s="51">
        <v>4.3499999999999996</v>
      </c>
      <c r="I376" s="51">
        <v>0</v>
      </c>
      <c r="J376" s="52">
        <f t="shared" ref="J376" si="1005">(IF(F376="SELL",G376-H376,IF(F376="BUY",H376-G376)))*E376</f>
        <v>-2925.0000000000018</v>
      </c>
      <c r="K376" s="52">
        <v>0</v>
      </c>
      <c r="L376" s="53">
        <f t="shared" ref="L376" si="1006">(K376+J376)/E376</f>
        <v>-0.65000000000000036</v>
      </c>
      <c r="M376" s="53">
        <f t="shared" ref="M376" si="1007">L376*E376</f>
        <v>-2925.0000000000018</v>
      </c>
    </row>
    <row r="377" spans="1:13" ht="15" customHeight="1">
      <c r="A377" s="54">
        <v>43606</v>
      </c>
      <c r="B377" s="48" t="s">
        <v>102</v>
      </c>
      <c r="C377" s="49" t="s">
        <v>16</v>
      </c>
      <c r="D377" s="49">
        <v>720</v>
      </c>
      <c r="E377" s="50">
        <v>1400</v>
      </c>
      <c r="F377" s="48" t="s">
        <v>15</v>
      </c>
      <c r="G377" s="51">
        <v>42</v>
      </c>
      <c r="H377" s="51">
        <v>35</v>
      </c>
      <c r="I377" s="51">
        <v>0</v>
      </c>
      <c r="J377" s="52">
        <f t="shared" ref="J377" si="1008">(IF(F377="SELL",G377-H377,IF(F377="BUY",H377-G377)))*E377</f>
        <v>-9800</v>
      </c>
      <c r="K377" s="52">
        <v>0</v>
      </c>
      <c r="L377" s="53">
        <f t="shared" ref="L377" si="1009">(K377+J377)/E377</f>
        <v>-7</v>
      </c>
      <c r="M377" s="53">
        <f t="shared" ref="M377" si="1010">L377*E377</f>
        <v>-9800</v>
      </c>
    </row>
    <row r="378" spans="1:13" ht="15" customHeight="1">
      <c r="A378" s="54">
        <v>43605</v>
      </c>
      <c r="B378" s="48" t="s">
        <v>89</v>
      </c>
      <c r="C378" s="49" t="s">
        <v>16</v>
      </c>
      <c r="D378" s="49">
        <v>200</v>
      </c>
      <c r="E378" s="50">
        <v>3500</v>
      </c>
      <c r="F378" s="48" t="s">
        <v>15</v>
      </c>
      <c r="G378" s="51">
        <v>6.75</v>
      </c>
      <c r="H378" s="51">
        <v>6.45</v>
      </c>
      <c r="I378" s="51">
        <v>0</v>
      </c>
      <c r="J378" s="52">
        <f t="shared" ref="J378:J379" si="1011">(IF(F378="SELL",G378-H378,IF(F378="BUY",H378-G378)))*E378</f>
        <v>-1049.9999999999993</v>
      </c>
      <c r="K378" s="52">
        <v>0</v>
      </c>
      <c r="L378" s="53">
        <f t="shared" ref="L378:L379" si="1012">(K378+J378)/E378</f>
        <v>-0.29999999999999982</v>
      </c>
      <c r="M378" s="53">
        <f t="shared" ref="M378:M379" si="1013">L378*E378</f>
        <v>-1049.9999999999993</v>
      </c>
    </row>
    <row r="379" spans="1:13" ht="15" customHeight="1">
      <c r="A379" s="54">
        <v>43605</v>
      </c>
      <c r="B379" s="48" t="s">
        <v>101</v>
      </c>
      <c r="C379" s="49" t="s">
        <v>16</v>
      </c>
      <c r="D379" s="49">
        <v>2750</v>
      </c>
      <c r="E379" s="50">
        <v>200</v>
      </c>
      <c r="F379" s="48" t="s">
        <v>15</v>
      </c>
      <c r="G379" s="51">
        <v>70</v>
      </c>
      <c r="H379" s="51">
        <v>63</v>
      </c>
      <c r="I379" s="51">
        <v>0</v>
      </c>
      <c r="J379" s="52">
        <f t="shared" si="1011"/>
        <v>-1400</v>
      </c>
      <c r="K379" s="52">
        <v>0</v>
      </c>
      <c r="L379" s="53">
        <f t="shared" si="1012"/>
        <v>-7</v>
      </c>
      <c r="M379" s="53">
        <f t="shared" si="1013"/>
        <v>-1400</v>
      </c>
    </row>
    <row r="380" spans="1:13" ht="15" customHeight="1">
      <c r="A380" s="54">
        <v>43602</v>
      </c>
      <c r="B380" s="48" t="s">
        <v>100</v>
      </c>
      <c r="C380" s="49" t="s">
        <v>16</v>
      </c>
      <c r="D380" s="49">
        <v>300</v>
      </c>
      <c r="E380" s="50">
        <v>2400</v>
      </c>
      <c r="F380" s="48" t="s">
        <v>15</v>
      </c>
      <c r="G380" s="51">
        <v>4.75</v>
      </c>
      <c r="H380" s="51">
        <v>5.25</v>
      </c>
      <c r="I380" s="51">
        <v>0</v>
      </c>
      <c r="J380" s="52">
        <f t="shared" ref="J380" si="1014">(IF(F380="SELL",G380-H380,IF(F380="BUY",H380-G380)))*E380</f>
        <v>1200</v>
      </c>
      <c r="K380" s="52">
        <v>0</v>
      </c>
      <c r="L380" s="53">
        <f t="shared" ref="L380" si="1015">(K380+J380)/E380</f>
        <v>0.5</v>
      </c>
      <c r="M380" s="53">
        <f t="shared" ref="M380" si="1016">L380*E380</f>
        <v>1200</v>
      </c>
    </row>
    <row r="381" spans="1:13" ht="15" customHeight="1">
      <c r="A381" s="54">
        <v>43601</v>
      </c>
      <c r="B381" s="48" t="s">
        <v>96</v>
      </c>
      <c r="C381" s="49" t="s">
        <v>16</v>
      </c>
      <c r="D381" s="49">
        <v>720</v>
      </c>
      <c r="E381" s="50">
        <v>1000</v>
      </c>
      <c r="F381" s="48" t="s">
        <v>15</v>
      </c>
      <c r="G381" s="51">
        <v>30</v>
      </c>
      <c r="H381" s="51">
        <v>29</v>
      </c>
      <c r="I381" s="51">
        <v>0</v>
      </c>
      <c r="J381" s="52">
        <f t="shared" ref="J381" si="1017">(IF(F381="SELL",G381-H381,IF(F381="BUY",H381-G381)))*E381</f>
        <v>-1000</v>
      </c>
      <c r="K381" s="52">
        <v>0</v>
      </c>
      <c r="L381" s="53">
        <f t="shared" ref="L381" si="1018">(K381+J381)/E381</f>
        <v>-1</v>
      </c>
      <c r="M381" s="53">
        <f t="shared" ref="M381" si="1019">L381*E381</f>
        <v>-1000</v>
      </c>
    </row>
    <row r="382" spans="1:13" ht="15" customHeight="1">
      <c r="A382" s="54">
        <v>43600</v>
      </c>
      <c r="B382" s="48" t="s">
        <v>53</v>
      </c>
      <c r="C382" s="49" t="s">
        <v>14</v>
      </c>
      <c r="D382" s="49">
        <v>320</v>
      </c>
      <c r="E382" s="50">
        <v>1300</v>
      </c>
      <c r="F382" s="48" t="s">
        <v>15</v>
      </c>
      <c r="G382" s="51">
        <v>25</v>
      </c>
      <c r="H382" s="51">
        <v>28.5</v>
      </c>
      <c r="I382" s="51">
        <v>33</v>
      </c>
      <c r="J382" s="52">
        <f t="shared" ref="J382" si="1020">(IF(F382="SELL",G382-H382,IF(F382="BUY",H382-G382)))*E382</f>
        <v>4550</v>
      </c>
      <c r="K382" s="52">
        <f>E382*4.5</f>
        <v>5850</v>
      </c>
      <c r="L382" s="53">
        <f t="shared" ref="L382" si="1021">(K382+J382)/E382</f>
        <v>8</v>
      </c>
      <c r="M382" s="53">
        <f t="shared" ref="M382" si="1022">L382*E382</f>
        <v>10400</v>
      </c>
    </row>
    <row r="383" spans="1:13" ht="15" customHeight="1">
      <c r="A383" s="54">
        <v>43599</v>
      </c>
      <c r="B383" s="48" t="s">
        <v>95</v>
      </c>
      <c r="C383" s="49" t="s">
        <v>16</v>
      </c>
      <c r="D383" s="49">
        <v>135</v>
      </c>
      <c r="E383" s="50">
        <v>6000</v>
      </c>
      <c r="F383" s="48" t="s">
        <v>15</v>
      </c>
      <c r="G383" s="51">
        <v>6.5</v>
      </c>
      <c r="H383" s="51">
        <v>7.5</v>
      </c>
      <c r="I383" s="51">
        <v>0</v>
      </c>
      <c r="J383" s="52">
        <f t="shared" ref="J383" si="1023">(IF(F383="SELL",G383-H383,IF(F383="BUY",H383-G383)))*E383</f>
        <v>6000</v>
      </c>
      <c r="K383" s="52">
        <v>0</v>
      </c>
      <c r="L383" s="53">
        <f t="shared" ref="L383" si="1024">(K383+J383)/E383</f>
        <v>1</v>
      </c>
      <c r="M383" s="53">
        <f t="shared" ref="M383" si="1025">L383*E383</f>
        <v>6000</v>
      </c>
    </row>
    <row r="384" spans="1:13" ht="15" customHeight="1">
      <c r="A384" s="54">
        <v>43594</v>
      </c>
      <c r="B384" s="48" t="s">
        <v>46</v>
      </c>
      <c r="C384" s="49" t="s">
        <v>16</v>
      </c>
      <c r="D384" s="49">
        <v>540</v>
      </c>
      <c r="E384" s="50">
        <v>1000</v>
      </c>
      <c r="F384" s="48" t="s">
        <v>15</v>
      </c>
      <c r="G384" s="51">
        <v>33</v>
      </c>
      <c r="H384" s="51">
        <v>31.45</v>
      </c>
      <c r="I384" s="51">
        <v>0</v>
      </c>
      <c r="J384" s="52">
        <f t="shared" ref="J384" si="1026">(IF(F384="SELL",G384-H384,IF(F384="BUY",H384-G384)))*E384</f>
        <v>-1550.0000000000007</v>
      </c>
      <c r="K384" s="52">
        <v>0</v>
      </c>
      <c r="L384" s="53">
        <f t="shared" ref="L384" si="1027">(K384+J384)/E384</f>
        <v>-1.5500000000000007</v>
      </c>
      <c r="M384" s="53">
        <f t="shared" ref="M384" si="1028">L384*E384</f>
        <v>-1550.0000000000007</v>
      </c>
    </row>
    <row r="385" spans="1:13" ht="15" customHeight="1">
      <c r="A385" s="54">
        <v>43593</v>
      </c>
      <c r="B385" s="48" t="s">
        <v>53</v>
      </c>
      <c r="C385" s="49" t="s">
        <v>14</v>
      </c>
      <c r="D385" s="49">
        <v>340</v>
      </c>
      <c r="E385" s="50">
        <v>1300</v>
      </c>
      <c r="F385" s="48" t="s">
        <v>15</v>
      </c>
      <c r="G385" s="51">
        <v>29</v>
      </c>
      <c r="H385" s="51">
        <v>35</v>
      </c>
      <c r="I385" s="51">
        <v>0</v>
      </c>
      <c r="J385" s="52">
        <f t="shared" ref="J385" si="1029">(IF(F385="SELL",G385-H385,IF(F385="BUY",H385-G385)))*E385</f>
        <v>7800</v>
      </c>
      <c r="K385" s="52">
        <v>0</v>
      </c>
      <c r="L385" s="53">
        <f t="shared" ref="L385" si="1030">(K385+J385)/E385</f>
        <v>6</v>
      </c>
      <c r="M385" s="53">
        <f t="shared" ref="M385" si="1031">L385*E385</f>
        <v>7800</v>
      </c>
    </row>
    <row r="386" spans="1:13" ht="15" customHeight="1">
      <c r="A386" s="54">
        <v>43592</v>
      </c>
      <c r="B386" s="48" t="s">
        <v>99</v>
      </c>
      <c r="C386" s="49" t="s">
        <v>14</v>
      </c>
      <c r="D386" s="49">
        <v>1120</v>
      </c>
      <c r="E386" s="50">
        <v>750</v>
      </c>
      <c r="F386" s="48" t="s">
        <v>15</v>
      </c>
      <c r="G386" s="51">
        <v>40</v>
      </c>
      <c r="H386" s="51">
        <v>35.5</v>
      </c>
      <c r="I386" s="51">
        <v>0</v>
      </c>
      <c r="J386" s="52">
        <f t="shared" ref="J386" si="1032">(IF(F386="SELL",G386-H386,IF(F386="BUY",H386-G386)))*E386</f>
        <v>-3375</v>
      </c>
      <c r="K386" s="52">
        <v>0</v>
      </c>
      <c r="L386" s="53">
        <f t="shared" ref="L386" si="1033">(K386+J386)/E386</f>
        <v>-4.5</v>
      </c>
      <c r="M386" s="53">
        <f t="shared" ref="M386" si="1034">L386*E386</f>
        <v>-3375</v>
      </c>
    </row>
    <row r="387" spans="1:13" ht="15" customHeight="1">
      <c r="A387" s="54">
        <v>43591</v>
      </c>
      <c r="B387" s="48" t="s">
        <v>98</v>
      </c>
      <c r="C387" s="49" t="s">
        <v>16</v>
      </c>
      <c r="D387" s="49">
        <v>800</v>
      </c>
      <c r="E387" s="50">
        <v>800</v>
      </c>
      <c r="F387" s="48" t="s">
        <v>15</v>
      </c>
      <c r="G387" s="51">
        <v>34</v>
      </c>
      <c r="H387" s="51">
        <v>30.5</v>
      </c>
      <c r="I387" s="51">
        <v>0</v>
      </c>
      <c r="J387" s="52">
        <f t="shared" ref="J387" si="1035">(IF(F387="SELL",G387-H387,IF(F387="BUY",H387-G387)))*E387</f>
        <v>-2800</v>
      </c>
      <c r="K387" s="52">
        <v>0</v>
      </c>
      <c r="L387" s="53">
        <f t="shared" ref="L387" si="1036">(K387+J387)/E387</f>
        <v>-3.5</v>
      </c>
      <c r="M387" s="53">
        <f t="shared" ref="M387" si="1037">L387*E387</f>
        <v>-2800</v>
      </c>
    </row>
    <row r="388" spans="1:13" ht="15" customHeight="1">
      <c r="A388" s="54">
        <v>43588</v>
      </c>
      <c r="B388" s="48" t="s">
        <v>95</v>
      </c>
      <c r="C388" s="49" t="s">
        <v>14</v>
      </c>
      <c r="D388" s="49">
        <v>145</v>
      </c>
      <c r="E388" s="50">
        <v>6000</v>
      </c>
      <c r="F388" s="48" t="s">
        <v>15</v>
      </c>
      <c r="G388" s="51">
        <v>6</v>
      </c>
      <c r="H388" s="51">
        <v>7</v>
      </c>
      <c r="I388" s="51">
        <v>0</v>
      </c>
      <c r="J388" s="52">
        <f t="shared" ref="J388" si="1038">(IF(F388="SELL",G388-H388,IF(F388="BUY",H388-G388)))*E388</f>
        <v>6000</v>
      </c>
      <c r="K388" s="52">
        <v>0</v>
      </c>
      <c r="L388" s="53">
        <f t="shared" ref="L388" si="1039">(K388+J388)/E388</f>
        <v>1</v>
      </c>
      <c r="M388" s="53">
        <f t="shared" ref="M388" si="1040">L388*E388</f>
        <v>6000</v>
      </c>
    </row>
    <row r="389" spans="1:13" ht="15" customHeight="1">
      <c r="A389" s="54">
        <v>43585</v>
      </c>
      <c r="B389" s="48" t="s">
        <v>97</v>
      </c>
      <c r="C389" s="49" t="s">
        <v>14</v>
      </c>
      <c r="D389" s="49">
        <v>600</v>
      </c>
      <c r="E389" s="50">
        <v>900</v>
      </c>
      <c r="F389" s="48" t="s">
        <v>15</v>
      </c>
      <c r="G389" s="51">
        <v>16</v>
      </c>
      <c r="H389" s="51">
        <v>22</v>
      </c>
      <c r="I389" s="51">
        <v>28</v>
      </c>
      <c r="J389" s="52">
        <f t="shared" ref="J389" si="1041">(IF(F389="SELL",G389-H389,IF(F389="BUY",H389-G389)))*E389</f>
        <v>5400</v>
      </c>
      <c r="K389" s="52">
        <f>E389*6</f>
        <v>5400</v>
      </c>
      <c r="L389" s="53">
        <f t="shared" ref="L389" si="1042">(K389+J389)/E389</f>
        <v>12</v>
      </c>
      <c r="M389" s="53">
        <f t="shared" ref="M389" si="1043">L389*E389</f>
        <v>10800</v>
      </c>
    </row>
    <row r="390" spans="1:13" ht="15" customHeight="1">
      <c r="A390" s="54">
        <v>43581</v>
      </c>
      <c r="B390" s="48" t="s">
        <v>48</v>
      </c>
      <c r="C390" s="49" t="s">
        <v>14</v>
      </c>
      <c r="D390" s="49">
        <v>750</v>
      </c>
      <c r="E390" s="50">
        <v>1200</v>
      </c>
      <c r="F390" s="48" t="s">
        <v>15</v>
      </c>
      <c r="G390" s="51">
        <v>26</v>
      </c>
      <c r="H390" s="51">
        <v>20</v>
      </c>
      <c r="I390" s="51">
        <v>0</v>
      </c>
      <c r="J390" s="52">
        <f t="shared" ref="J390" si="1044">(IF(F390="SELL",G390-H390,IF(F390="BUY",H390-G390)))*E390</f>
        <v>-7200</v>
      </c>
      <c r="K390" s="52">
        <v>0</v>
      </c>
      <c r="L390" s="53">
        <f t="shared" ref="L390" si="1045">(K390+J390)/E390</f>
        <v>-6</v>
      </c>
      <c r="M390" s="53">
        <f t="shared" ref="M390" si="1046">L390*E390</f>
        <v>-7200</v>
      </c>
    </row>
    <row r="391" spans="1:13" ht="15" customHeight="1">
      <c r="A391" s="54">
        <v>43565</v>
      </c>
      <c r="B391" s="48" t="s">
        <v>96</v>
      </c>
      <c r="C391" s="49" t="s">
        <v>16</v>
      </c>
      <c r="D391" s="49">
        <v>820</v>
      </c>
      <c r="E391" s="50">
        <v>1000</v>
      </c>
      <c r="F391" s="48" t="s">
        <v>15</v>
      </c>
      <c r="G391" s="51">
        <v>11.5</v>
      </c>
      <c r="H391" s="51">
        <v>0</v>
      </c>
      <c r="I391" s="51">
        <v>0</v>
      </c>
      <c r="J391" s="52">
        <v>0</v>
      </c>
      <c r="K391" s="52">
        <v>0</v>
      </c>
      <c r="L391" s="53">
        <f t="shared" ref="L391" si="1047">(K391+J391)/E391</f>
        <v>0</v>
      </c>
      <c r="M391" s="53">
        <f t="shared" ref="M391" si="1048">L391*E391</f>
        <v>0</v>
      </c>
    </row>
    <row r="392" spans="1:13" ht="15" customHeight="1">
      <c r="A392" s="54">
        <v>43553</v>
      </c>
      <c r="B392" s="48" t="s">
        <v>95</v>
      </c>
      <c r="C392" s="49" t="s">
        <v>16</v>
      </c>
      <c r="D392" s="49">
        <v>150</v>
      </c>
      <c r="E392" s="50">
        <v>6000</v>
      </c>
      <c r="F392" s="48" t="s">
        <v>15</v>
      </c>
      <c r="G392" s="51">
        <v>5.8</v>
      </c>
      <c r="H392" s="51">
        <v>7</v>
      </c>
      <c r="I392" s="51">
        <v>8.5</v>
      </c>
      <c r="J392" s="52">
        <f t="shared" ref="J392" si="1049">(IF(F392="SELL",G392-H392,IF(F392="BUY",H392-G392)))*E392</f>
        <v>7200.0000000000009</v>
      </c>
      <c r="K392" s="52">
        <f>E392*1.5</f>
        <v>9000</v>
      </c>
      <c r="L392" s="53">
        <f t="shared" ref="L392" si="1050">(K392+J392)/E392</f>
        <v>2.7</v>
      </c>
      <c r="M392" s="53">
        <f t="shared" ref="M392" si="1051">L392*E392</f>
        <v>16200.000000000002</v>
      </c>
    </row>
    <row r="393" spans="1:13" ht="15" customHeight="1">
      <c r="A393" s="54">
        <v>43551</v>
      </c>
      <c r="B393" s="48" t="s">
        <v>94</v>
      </c>
      <c r="C393" s="49" t="s">
        <v>14</v>
      </c>
      <c r="D393" s="49">
        <v>1400</v>
      </c>
      <c r="E393" s="50">
        <v>600</v>
      </c>
      <c r="F393" s="48" t="s">
        <v>15</v>
      </c>
      <c r="G393" s="51">
        <v>15</v>
      </c>
      <c r="H393" s="51">
        <v>0</v>
      </c>
      <c r="I393" s="51">
        <v>0</v>
      </c>
      <c r="J393" s="52">
        <v>0</v>
      </c>
      <c r="K393" s="52">
        <v>0</v>
      </c>
      <c r="L393" s="53">
        <f t="shared" ref="L393" si="1052">(K393+J393)/E393</f>
        <v>0</v>
      </c>
      <c r="M393" s="53">
        <f t="shared" ref="M393" si="1053">L393*E393</f>
        <v>0</v>
      </c>
    </row>
    <row r="394" spans="1:13" ht="15" customHeight="1">
      <c r="A394" s="54">
        <v>43544</v>
      </c>
      <c r="B394" s="48" t="s">
        <v>55</v>
      </c>
      <c r="C394" s="49" t="s">
        <v>16</v>
      </c>
      <c r="D394" s="49">
        <v>740</v>
      </c>
      <c r="E394" s="50">
        <v>1200</v>
      </c>
      <c r="F394" s="48" t="s">
        <v>15</v>
      </c>
      <c r="G394" s="51">
        <v>11</v>
      </c>
      <c r="H394" s="51">
        <v>14</v>
      </c>
      <c r="I394" s="51">
        <v>0</v>
      </c>
      <c r="J394" s="52">
        <f t="shared" ref="J394" si="1054">(IF(F394="SELL",G394-H394,IF(F394="BUY",H394-G394)))*E394</f>
        <v>3600</v>
      </c>
      <c r="K394" s="52">
        <v>0</v>
      </c>
      <c r="L394" s="53">
        <f t="shared" ref="L394" si="1055">(K394+J394)/E394</f>
        <v>3</v>
      </c>
      <c r="M394" s="53">
        <f t="shared" ref="M394" si="1056">L394*E394</f>
        <v>3600</v>
      </c>
    </row>
    <row r="395" spans="1:13" ht="15" customHeight="1">
      <c r="A395" s="54">
        <v>43543</v>
      </c>
      <c r="B395" s="48" t="s">
        <v>93</v>
      </c>
      <c r="C395" s="49" t="s">
        <v>16</v>
      </c>
      <c r="D395" s="49">
        <v>107.5</v>
      </c>
      <c r="E395" s="50">
        <v>8000</v>
      </c>
      <c r="F395" s="48" t="s">
        <v>15</v>
      </c>
      <c r="G395" s="51">
        <v>4</v>
      </c>
      <c r="H395" s="51">
        <v>4.7</v>
      </c>
      <c r="I395" s="51">
        <v>0</v>
      </c>
      <c r="J395" s="52">
        <f t="shared" ref="J395" si="1057">(IF(F395="SELL",G395-H395,IF(F395="BUY",H395-G395)))*E395</f>
        <v>5600.0000000000018</v>
      </c>
      <c r="K395" s="52">
        <v>0</v>
      </c>
      <c r="L395" s="53">
        <f t="shared" ref="L395" si="1058">(K395+J395)/E395</f>
        <v>0.70000000000000018</v>
      </c>
      <c r="M395" s="53">
        <f t="shared" ref="M395" si="1059">L395*E395</f>
        <v>5600.0000000000018</v>
      </c>
    </row>
    <row r="396" spans="1:13" ht="15" customHeight="1">
      <c r="A396" s="54">
        <v>43539</v>
      </c>
      <c r="B396" s="48" t="s">
        <v>84</v>
      </c>
      <c r="C396" s="49" t="s">
        <v>16</v>
      </c>
      <c r="D396" s="49">
        <v>300</v>
      </c>
      <c r="E396" s="50">
        <v>3000</v>
      </c>
      <c r="F396" s="48" t="s">
        <v>15</v>
      </c>
      <c r="G396" s="51">
        <v>4.5999999999999996</v>
      </c>
      <c r="H396" s="51">
        <v>6.5</v>
      </c>
      <c r="I396" s="51">
        <v>0</v>
      </c>
      <c r="J396" s="52">
        <f t="shared" ref="J396" si="1060">(IF(F396="SELL",G396-H396,IF(F396="BUY",H396-G396)))*E396</f>
        <v>5700.0000000000009</v>
      </c>
      <c r="K396" s="52">
        <v>0</v>
      </c>
      <c r="L396" s="53">
        <f t="shared" ref="L396" si="1061">(K396+J396)/E396</f>
        <v>1.9000000000000004</v>
      </c>
      <c r="M396" s="53">
        <f t="shared" ref="M396" si="1062">L396*E396</f>
        <v>5700.0000000000009</v>
      </c>
    </row>
    <row r="397" spans="1:13" ht="15" customHeight="1">
      <c r="A397" s="54">
        <v>43535</v>
      </c>
      <c r="B397" s="48" t="s">
        <v>84</v>
      </c>
      <c r="C397" s="49" t="s">
        <v>16</v>
      </c>
      <c r="D397" s="49">
        <v>295</v>
      </c>
      <c r="E397" s="50">
        <v>3000</v>
      </c>
      <c r="F397" s="48" t="s">
        <v>15</v>
      </c>
      <c r="G397" s="51">
        <v>4.2</v>
      </c>
      <c r="H397" s="51">
        <v>3.55</v>
      </c>
      <c r="I397" s="51">
        <v>0</v>
      </c>
      <c r="J397" s="52">
        <f t="shared" ref="J397" si="1063">(IF(F397="SELL",G397-H397,IF(F397="BUY",H397-G397)))*E397</f>
        <v>-1950.0000000000011</v>
      </c>
      <c r="K397" s="52">
        <v>0</v>
      </c>
      <c r="L397" s="53">
        <f t="shared" ref="L397" si="1064">(K397+J397)/E397</f>
        <v>-0.65000000000000036</v>
      </c>
      <c r="M397" s="53">
        <f t="shared" ref="M397" si="1065">L397*E397</f>
        <v>-1950.0000000000011</v>
      </c>
    </row>
    <row r="398" spans="1:13" ht="15" customHeight="1">
      <c r="A398" s="54">
        <v>43532</v>
      </c>
      <c r="B398" s="48" t="s">
        <v>49</v>
      </c>
      <c r="C398" s="49" t="s">
        <v>14</v>
      </c>
      <c r="D398" s="49">
        <v>510</v>
      </c>
      <c r="E398" s="50">
        <v>1061</v>
      </c>
      <c r="F398" s="48" t="s">
        <v>15</v>
      </c>
      <c r="G398" s="51">
        <v>12.5</v>
      </c>
      <c r="H398" s="51">
        <v>14</v>
      </c>
      <c r="I398" s="51">
        <v>6</v>
      </c>
      <c r="J398" s="52">
        <f t="shared" ref="J398" si="1066">(IF(F398="SELL",G398-H398,IF(F398="BUY",H398-G398)))*E398</f>
        <v>1591.5</v>
      </c>
      <c r="K398" s="52">
        <f>E398*1.5</f>
        <v>1591.5</v>
      </c>
      <c r="L398" s="53">
        <f t="shared" ref="L398" si="1067">(K398+J398)/E398</f>
        <v>3</v>
      </c>
      <c r="M398" s="53">
        <f t="shared" ref="M398" si="1068">L398*E398</f>
        <v>3183</v>
      </c>
    </row>
    <row r="399" spans="1:13" ht="15" customHeight="1">
      <c r="A399" s="54">
        <v>43518</v>
      </c>
      <c r="B399" s="48" t="s">
        <v>44</v>
      </c>
      <c r="C399" s="49" t="s">
        <v>16</v>
      </c>
      <c r="D399" s="49">
        <v>125</v>
      </c>
      <c r="E399" s="50">
        <v>3200</v>
      </c>
      <c r="F399" s="48" t="s">
        <v>15</v>
      </c>
      <c r="G399" s="51">
        <v>3</v>
      </c>
      <c r="H399" s="51">
        <v>4.5</v>
      </c>
      <c r="I399" s="51">
        <v>6</v>
      </c>
      <c r="J399" s="52">
        <f t="shared" ref="J399" si="1069">(IF(F399="SELL",G399-H399,IF(F399="BUY",H399-G399)))*E399</f>
        <v>4800</v>
      </c>
      <c r="K399" s="52">
        <f>E399*1.5</f>
        <v>4800</v>
      </c>
      <c r="L399" s="53">
        <f t="shared" ref="L399" si="1070">(K399+J399)/E399</f>
        <v>3</v>
      </c>
      <c r="M399" s="53">
        <f t="shared" ref="M399" si="1071">L399*E399</f>
        <v>9600</v>
      </c>
    </row>
    <row r="400" spans="1:13" ht="15" customHeight="1">
      <c r="A400" s="54">
        <v>43517</v>
      </c>
      <c r="B400" s="48" t="s">
        <v>82</v>
      </c>
      <c r="C400" s="49" t="s">
        <v>16</v>
      </c>
      <c r="D400" s="49">
        <v>355</v>
      </c>
      <c r="E400" s="50">
        <v>2750</v>
      </c>
      <c r="F400" s="48" t="s">
        <v>15</v>
      </c>
      <c r="G400" s="51">
        <v>4.5</v>
      </c>
      <c r="H400" s="51">
        <v>0</v>
      </c>
      <c r="I400" s="51">
        <v>0</v>
      </c>
      <c r="J400" s="52">
        <v>0</v>
      </c>
      <c r="K400" s="52">
        <v>0</v>
      </c>
      <c r="L400" s="53">
        <f t="shared" ref="L400" si="1072">(K400+J400)/E400</f>
        <v>0</v>
      </c>
      <c r="M400" s="53">
        <f t="shared" ref="M400" si="1073">L400*E400</f>
        <v>0</v>
      </c>
    </row>
    <row r="401" spans="1:13" ht="15" customHeight="1">
      <c r="A401" s="54">
        <v>43515</v>
      </c>
      <c r="B401" s="48" t="s">
        <v>92</v>
      </c>
      <c r="C401" s="49" t="s">
        <v>16</v>
      </c>
      <c r="D401" s="49">
        <v>450</v>
      </c>
      <c r="E401" s="50">
        <v>1300</v>
      </c>
      <c r="F401" s="48" t="s">
        <v>15</v>
      </c>
      <c r="G401" s="51">
        <v>13</v>
      </c>
      <c r="H401" s="51">
        <v>17</v>
      </c>
      <c r="I401" s="51">
        <v>0</v>
      </c>
      <c r="J401" s="52">
        <f t="shared" ref="J401" si="1074">(IF(F401="SELL",G401-H401,IF(F401="BUY",H401-G401)))*E401</f>
        <v>5200</v>
      </c>
      <c r="K401" s="52">
        <v>0</v>
      </c>
      <c r="L401" s="53">
        <f t="shared" ref="L401" si="1075">(K401+J401)/E401</f>
        <v>4</v>
      </c>
      <c r="M401" s="53">
        <f t="shared" ref="M401" si="1076">L401*E401</f>
        <v>5200</v>
      </c>
    </row>
    <row r="402" spans="1:13" ht="15" customHeight="1">
      <c r="A402" s="54">
        <v>43515</v>
      </c>
      <c r="B402" s="48" t="s">
        <v>82</v>
      </c>
      <c r="C402" s="49" t="s">
        <v>16</v>
      </c>
      <c r="D402" s="49">
        <v>350</v>
      </c>
      <c r="E402" s="50">
        <v>2750</v>
      </c>
      <c r="F402" s="48" t="s">
        <v>15</v>
      </c>
      <c r="G402" s="51">
        <v>5.5</v>
      </c>
      <c r="H402" s="51">
        <v>7</v>
      </c>
      <c r="I402" s="51">
        <v>0</v>
      </c>
      <c r="J402" s="52">
        <f>(IF(F402="SELL",G402-H402,IF(F402="BUY",H402-G402)))*E402</f>
        <v>4125</v>
      </c>
      <c r="K402" s="52">
        <v>0</v>
      </c>
      <c r="L402" s="53">
        <f>(K402+J402)/E402</f>
        <v>1.5</v>
      </c>
      <c r="M402" s="53">
        <f>L402*E402</f>
        <v>4125</v>
      </c>
    </row>
    <row r="403" spans="1:13" ht="15" customHeight="1">
      <c r="A403" s="54">
        <v>43514</v>
      </c>
      <c r="B403" s="48" t="s">
        <v>91</v>
      </c>
      <c r="C403" s="49" t="s">
        <v>16</v>
      </c>
      <c r="D403" s="49">
        <v>40</v>
      </c>
      <c r="E403" s="50">
        <v>20000</v>
      </c>
      <c r="F403" s="48" t="s">
        <v>15</v>
      </c>
      <c r="G403" s="51">
        <v>1.7</v>
      </c>
      <c r="H403" s="51">
        <v>0</v>
      </c>
      <c r="I403" s="51">
        <v>0</v>
      </c>
      <c r="J403" s="52">
        <v>0</v>
      </c>
      <c r="K403" s="52">
        <v>0</v>
      </c>
      <c r="L403" s="53">
        <f t="shared" ref="L403" si="1077">(K403+J403)/E403</f>
        <v>0</v>
      </c>
      <c r="M403" s="53">
        <f t="shared" ref="M403" si="1078">L403*E403</f>
        <v>0</v>
      </c>
    </row>
    <row r="404" spans="1:13" ht="15" customHeight="1">
      <c r="A404" s="54">
        <v>43511</v>
      </c>
      <c r="B404" s="48" t="s">
        <v>90</v>
      </c>
      <c r="C404" s="49" t="s">
        <v>16</v>
      </c>
      <c r="D404" s="49">
        <v>105</v>
      </c>
      <c r="E404" s="50">
        <v>6200</v>
      </c>
      <c r="F404" s="48" t="s">
        <v>15</v>
      </c>
      <c r="G404" s="51">
        <v>1.75</v>
      </c>
      <c r="H404" s="51">
        <v>2.7</v>
      </c>
      <c r="I404" s="51">
        <v>0</v>
      </c>
      <c r="J404" s="52">
        <f t="shared" ref="J404:J405" si="1079">(IF(F404="SELL",G404-H404,IF(F404="BUY",H404-G404)))*E404</f>
        <v>5890.0000000000009</v>
      </c>
      <c r="K404" s="52">
        <v>0</v>
      </c>
      <c r="L404" s="53">
        <f t="shared" ref="L404:L405" si="1080">(K404+J404)/E404</f>
        <v>0.95000000000000018</v>
      </c>
      <c r="M404" s="53">
        <f t="shared" ref="M404:M405" si="1081">L404*E404</f>
        <v>5890.0000000000009</v>
      </c>
    </row>
    <row r="405" spans="1:13" ht="15" customHeight="1">
      <c r="A405" s="54">
        <v>43511</v>
      </c>
      <c r="B405" s="48" t="s">
        <v>89</v>
      </c>
      <c r="C405" s="49" t="s">
        <v>14</v>
      </c>
      <c r="D405" s="49">
        <v>185</v>
      </c>
      <c r="E405" s="50">
        <v>3500</v>
      </c>
      <c r="F405" s="48" t="s">
        <v>15</v>
      </c>
      <c r="G405" s="51">
        <v>4.8</v>
      </c>
      <c r="H405" s="51">
        <v>6</v>
      </c>
      <c r="I405" s="51">
        <v>0</v>
      </c>
      <c r="J405" s="52">
        <f t="shared" si="1079"/>
        <v>4200.0000000000009</v>
      </c>
      <c r="K405" s="52">
        <v>0</v>
      </c>
      <c r="L405" s="53">
        <f t="shared" si="1080"/>
        <v>1.2000000000000002</v>
      </c>
      <c r="M405" s="53">
        <f t="shared" si="1081"/>
        <v>4200.0000000000009</v>
      </c>
    </row>
    <row r="406" spans="1:13" ht="15" customHeight="1">
      <c r="A406" s="54">
        <v>43507</v>
      </c>
      <c r="B406" s="48" t="s">
        <v>89</v>
      </c>
      <c r="C406" s="49" t="s">
        <v>14</v>
      </c>
      <c r="D406" s="49">
        <v>200</v>
      </c>
      <c r="E406" s="50">
        <v>3500</v>
      </c>
      <c r="F406" s="48" t="s">
        <v>15</v>
      </c>
      <c r="G406" s="51">
        <v>7.5</v>
      </c>
      <c r="H406" s="51">
        <v>0</v>
      </c>
      <c r="I406" s="51">
        <v>0</v>
      </c>
      <c r="J406" s="52">
        <v>0</v>
      </c>
      <c r="K406" s="52">
        <v>0</v>
      </c>
      <c r="L406" s="53">
        <f>(K406+J406)/E406</f>
        <v>0</v>
      </c>
      <c r="M406" s="53">
        <f>L406*E406</f>
        <v>0</v>
      </c>
    </row>
    <row r="407" spans="1:13" ht="15" customHeight="1">
      <c r="A407" s="54">
        <v>43500</v>
      </c>
      <c r="B407" s="48" t="s">
        <v>21</v>
      </c>
      <c r="C407" s="49" t="s">
        <v>14</v>
      </c>
      <c r="D407" s="49">
        <v>160</v>
      </c>
      <c r="E407" s="50">
        <v>1750</v>
      </c>
      <c r="F407" s="48" t="s">
        <v>15</v>
      </c>
      <c r="G407" s="51">
        <v>10</v>
      </c>
      <c r="H407" s="51">
        <v>0</v>
      </c>
      <c r="I407" s="51">
        <v>0</v>
      </c>
      <c r="J407" s="52">
        <v>0</v>
      </c>
      <c r="K407" s="52">
        <v>0</v>
      </c>
      <c r="L407" s="53">
        <f>(K407+J407)/E407</f>
        <v>0</v>
      </c>
      <c r="M407" s="53">
        <f>L407*E407</f>
        <v>0</v>
      </c>
    </row>
    <row r="408" spans="1:13" ht="15" customHeight="1">
      <c r="A408" s="54">
        <v>43479</v>
      </c>
      <c r="B408" s="48" t="s">
        <v>88</v>
      </c>
      <c r="C408" s="49" t="s">
        <v>16</v>
      </c>
      <c r="D408" s="49">
        <v>1400</v>
      </c>
      <c r="E408" s="50">
        <v>700</v>
      </c>
      <c r="F408" s="48" t="s">
        <v>15</v>
      </c>
      <c r="G408" s="51">
        <v>36</v>
      </c>
      <c r="H408" s="51">
        <v>0</v>
      </c>
      <c r="I408" s="51">
        <v>0</v>
      </c>
      <c r="J408" s="52">
        <v>0</v>
      </c>
      <c r="K408" s="52">
        <v>0</v>
      </c>
      <c r="L408" s="53">
        <f>(K408+J408)/E408</f>
        <v>0</v>
      </c>
      <c r="M408" s="53">
        <f>L408*E408</f>
        <v>0</v>
      </c>
    </row>
    <row r="409" spans="1:13" ht="15" customHeight="1">
      <c r="A409" s="54">
        <v>43461</v>
      </c>
      <c r="B409" s="48" t="s">
        <v>87</v>
      </c>
      <c r="C409" s="49" t="s">
        <v>16</v>
      </c>
      <c r="D409" s="49">
        <v>1120</v>
      </c>
      <c r="E409" s="50">
        <v>550</v>
      </c>
      <c r="F409" s="48" t="s">
        <v>15</v>
      </c>
      <c r="G409" s="51">
        <v>9</v>
      </c>
      <c r="H409" s="51">
        <v>4</v>
      </c>
      <c r="I409" s="51">
        <v>0</v>
      </c>
      <c r="J409" s="52">
        <f>(IF(F409="SELL",G409-H409,IF(F409="BUY",H409-G409)))*E409</f>
        <v>-2750</v>
      </c>
      <c r="K409" s="52">
        <v>0</v>
      </c>
      <c r="L409" s="53">
        <f>(K409+J409)/E409</f>
        <v>-5</v>
      </c>
      <c r="M409" s="53">
        <f>L409*E409</f>
        <v>-2750</v>
      </c>
    </row>
    <row r="410" spans="1:13" ht="15" customHeight="1">
      <c r="A410" s="54">
        <v>43453</v>
      </c>
      <c r="B410" s="48" t="s">
        <v>86</v>
      </c>
      <c r="C410" s="49" t="s">
        <v>16</v>
      </c>
      <c r="D410" s="49">
        <v>230</v>
      </c>
      <c r="E410" s="50">
        <v>2500</v>
      </c>
      <c r="F410" s="48" t="s">
        <v>15</v>
      </c>
      <c r="G410" s="51">
        <v>3.25</v>
      </c>
      <c r="H410" s="51">
        <v>4</v>
      </c>
      <c r="I410" s="51">
        <v>0</v>
      </c>
      <c r="J410" s="52">
        <f t="shared" ref="J410:J412" si="1082">(IF(F410="SELL",G410-H410,IF(F410="BUY",H410-G410)))*E410</f>
        <v>1875</v>
      </c>
      <c r="K410" s="52">
        <v>0</v>
      </c>
      <c r="L410" s="53">
        <f t="shared" ref="L410:L412" si="1083">(K410+J410)/E410</f>
        <v>0.75</v>
      </c>
      <c r="M410" s="53">
        <f t="shared" ref="M410:M412" si="1084">L410*E410</f>
        <v>1875</v>
      </c>
    </row>
    <row r="411" spans="1:13" ht="15" customHeight="1">
      <c r="A411" s="54">
        <v>43440</v>
      </c>
      <c r="B411" s="48" t="s">
        <v>85</v>
      </c>
      <c r="C411" s="49" t="s">
        <v>16</v>
      </c>
      <c r="D411" s="49">
        <v>650</v>
      </c>
      <c r="E411" s="50">
        <v>1250</v>
      </c>
      <c r="F411" s="48" t="s">
        <v>15</v>
      </c>
      <c r="G411" s="51">
        <v>21.6</v>
      </c>
      <c r="H411" s="51">
        <v>24</v>
      </c>
      <c r="I411" s="51">
        <v>0</v>
      </c>
      <c r="J411" s="52">
        <f t="shared" si="1082"/>
        <v>2999.9999999999982</v>
      </c>
      <c r="K411" s="52">
        <v>0</v>
      </c>
      <c r="L411" s="53">
        <f t="shared" si="1083"/>
        <v>2.3999999999999986</v>
      </c>
      <c r="M411" s="53">
        <f t="shared" si="1084"/>
        <v>2999.9999999999982</v>
      </c>
    </row>
    <row r="412" spans="1:13" ht="15" customHeight="1">
      <c r="A412" s="54">
        <v>43418</v>
      </c>
      <c r="B412" s="48" t="s">
        <v>84</v>
      </c>
      <c r="C412" s="49" t="s">
        <v>16</v>
      </c>
      <c r="D412" s="49">
        <v>285</v>
      </c>
      <c r="E412" s="50">
        <v>3000</v>
      </c>
      <c r="F412" s="48" t="s">
        <v>15</v>
      </c>
      <c r="G412" s="51">
        <v>5.5</v>
      </c>
      <c r="H412" s="51">
        <v>7.5</v>
      </c>
      <c r="I412" s="51">
        <v>0</v>
      </c>
      <c r="J412" s="52">
        <f t="shared" si="1082"/>
        <v>6000</v>
      </c>
      <c r="K412" s="52">
        <v>0</v>
      </c>
      <c r="L412" s="53">
        <f t="shared" si="1083"/>
        <v>2</v>
      </c>
      <c r="M412" s="53">
        <f t="shared" si="1084"/>
        <v>6000</v>
      </c>
    </row>
    <row r="413" spans="1:13" ht="15" customHeight="1">
      <c r="A413" s="54">
        <v>43397</v>
      </c>
      <c r="B413" s="48" t="s">
        <v>83</v>
      </c>
      <c r="C413" s="49" t="s">
        <v>16</v>
      </c>
      <c r="D413" s="49">
        <v>310</v>
      </c>
      <c r="E413" s="50">
        <v>1700</v>
      </c>
      <c r="F413" s="48" t="s">
        <v>15</v>
      </c>
      <c r="G413" s="51">
        <v>2.15</v>
      </c>
      <c r="H413" s="51">
        <v>3.3</v>
      </c>
      <c r="I413" s="51">
        <v>0</v>
      </c>
      <c r="J413" s="52">
        <f t="shared" ref="J413:J414" si="1085">(IF(F413="SELL",G413-H413,IF(F413="BUY",H413-G413)))*E413</f>
        <v>1954.9999999999998</v>
      </c>
      <c r="K413" s="52">
        <v>0</v>
      </c>
      <c r="L413" s="53">
        <f t="shared" ref="L413:L414" si="1086">(K413+J413)/E413</f>
        <v>1.1499999999999999</v>
      </c>
      <c r="M413" s="53">
        <f t="shared" ref="M413:M414" si="1087">L413*E413</f>
        <v>1954.9999999999998</v>
      </c>
    </row>
    <row r="414" spans="1:13" ht="15" customHeight="1">
      <c r="A414" s="54">
        <v>43397</v>
      </c>
      <c r="B414" s="48" t="s">
        <v>48</v>
      </c>
      <c r="C414" s="49" t="s">
        <v>14</v>
      </c>
      <c r="D414" s="49">
        <v>560</v>
      </c>
      <c r="E414" s="50">
        <v>1200</v>
      </c>
      <c r="F414" s="48" t="s">
        <v>15</v>
      </c>
      <c r="G414" s="51">
        <v>5.75</v>
      </c>
      <c r="H414" s="51">
        <v>7</v>
      </c>
      <c r="I414" s="51">
        <v>0</v>
      </c>
      <c r="J414" s="52">
        <f t="shared" si="1085"/>
        <v>1500</v>
      </c>
      <c r="K414" s="52">
        <v>0</v>
      </c>
      <c r="L414" s="53">
        <f t="shared" si="1086"/>
        <v>1.25</v>
      </c>
      <c r="M414" s="53">
        <f t="shared" si="1087"/>
        <v>1500</v>
      </c>
    </row>
    <row r="415" spans="1:13" ht="15" customHeight="1">
      <c r="A415" s="54">
        <v>43395</v>
      </c>
      <c r="B415" s="48" t="s">
        <v>82</v>
      </c>
      <c r="C415" s="49" t="s">
        <v>16</v>
      </c>
      <c r="D415" s="49">
        <v>330</v>
      </c>
      <c r="E415" s="50">
        <v>2750</v>
      </c>
      <c r="F415" s="48" t="s">
        <v>15</v>
      </c>
      <c r="G415" s="51">
        <v>4.4000000000000004</v>
      </c>
      <c r="H415" s="51">
        <v>5.8</v>
      </c>
      <c r="I415" s="51">
        <v>0</v>
      </c>
      <c r="J415" s="52">
        <f t="shared" ref="J415" si="1088">(IF(F415="SELL",G415-H415,IF(F415="BUY",H415-G415)))*E415</f>
        <v>3849.9999999999986</v>
      </c>
      <c r="K415" s="52">
        <v>0</v>
      </c>
      <c r="L415" s="53">
        <f t="shared" ref="L415" si="1089">(K415+J415)/E415</f>
        <v>1.3999999999999995</v>
      </c>
      <c r="M415" s="53">
        <f t="shared" ref="M415" si="1090">L415*E415</f>
        <v>3849.9999999999986</v>
      </c>
    </row>
    <row r="416" spans="1:13" ht="15" customHeight="1">
      <c r="A416" s="54">
        <v>43392</v>
      </c>
      <c r="B416" s="48" t="s">
        <v>57</v>
      </c>
      <c r="C416" s="49" t="s">
        <v>16</v>
      </c>
      <c r="D416" s="49">
        <v>320</v>
      </c>
      <c r="E416" s="50">
        <v>2000</v>
      </c>
      <c r="F416" s="48" t="s">
        <v>15</v>
      </c>
      <c r="G416" s="51">
        <v>7</v>
      </c>
      <c r="H416" s="51">
        <v>8.5</v>
      </c>
      <c r="I416" s="51">
        <v>0</v>
      </c>
      <c r="J416" s="52">
        <f t="shared" ref="J416" si="1091">(IF(F416="SELL",G416-H416,IF(F416="BUY",H416-G416)))*E416</f>
        <v>3000</v>
      </c>
      <c r="K416" s="52">
        <v>0</v>
      </c>
      <c r="L416" s="53">
        <f t="shared" ref="L416" si="1092">(K416+J416)/E416</f>
        <v>1.5</v>
      </c>
      <c r="M416" s="53">
        <f t="shared" ref="M416" si="1093">L416*E416</f>
        <v>3000</v>
      </c>
    </row>
    <row r="417" spans="1:13" ht="15" customHeight="1">
      <c r="A417" s="54">
        <v>43390</v>
      </c>
      <c r="B417" s="48" t="s">
        <v>47</v>
      </c>
      <c r="C417" s="49" t="s">
        <v>14</v>
      </c>
      <c r="D417" s="49">
        <v>590</v>
      </c>
      <c r="E417" s="50">
        <v>1000</v>
      </c>
      <c r="F417" s="48" t="s">
        <v>15</v>
      </c>
      <c r="G417" s="51">
        <v>18.25</v>
      </c>
      <c r="H417" s="51">
        <v>20</v>
      </c>
      <c r="I417" s="51">
        <v>22</v>
      </c>
      <c r="J417" s="52">
        <f t="shared" ref="J417:J468" si="1094">(IF(F417="SELL",G417-H417,IF(F417="BUY",H417-G417)))*E417</f>
        <v>1750</v>
      </c>
      <c r="K417" s="52">
        <v>2000</v>
      </c>
      <c r="L417" s="53">
        <f t="shared" ref="L417:L468" si="1095">(K417+J417)/E417</f>
        <v>3.75</v>
      </c>
      <c r="M417" s="53">
        <f t="shared" ref="M417:M468" si="1096">L417*E417</f>
        <v>3750</v>
      </c>
    </row>
    <row r="418" spans="1:13" ht="15" customHeight="1">
      <c r="A418" s="54">
        <v>43390</v>
      </c>
      <c r="B418" s="48" t="s">
        <v>48</v>
      </c>
      <c r="C418" s="49" t="s">
        <v>14</v>
      </c>
      <c r="D418" s="49">
        <v>580</v>
      </c>
      <c r="E418" s="50">
        <v>1200</v>
      </c>
      <c r="F418" s="48" t="s">
        <v>15</v>
      </c>
      <c r="G418" s="51">
        <v>11.75</v>
      </c>
      <c r="H418" s="51">
        <v>13</v>
      </c>
      <c r="I418" s="51">
        <v>14.5</v>
      </c>
      <c r="J418" s="52">
        <f t="shared" si="1094"/>
        <v>1500</v>
      </c>
      <c r="K418" s="52">
        <v>1800</v>
      </c>
      <c r="L418" s="53">
        <f t="shared" si="1095"/>
        <v>2.75</v>
      </c>
      <c r="M418" s="53">
        <f t="shared" si="1096"/>
        <v>3300</v>
      </c>
    </row>
    <row r="419" spans="1:13" ht="15" customHeight="1">
      <c r="A419" s="54">
        <v>43389</v>
      </c>
      <c r="B419" s="48" t="s">
        <v>49</v>
      </c>
      <c r="C419" s="49" t="s">
        <v>16</v>
      </c>
      <c r="D419" s="49">
        <v>580</v>
      </c>
      <c r="E419" s="50">
        <v>1061</v>
      </c>
      <c r="F419" s="48" t="s">
        <v>15</v>
      </c>
      <c r="G419" s="51">
        <v>16.45</v>
      </c>
      <c r="H419" s="51">
        <v>17.649999999999999</v>
      </c>
      <c r="I419" s="51">
        <v>0</v>
      </c>
      <c r="J419" s="52">
        <f t="shared" si="1094"/>
        <v>1273.1999999999991</v>
      </c>
      <c r="K419" s="52">
        <v>0</v>
      </c>
      <c r="L419" s="53">
        <f t="shared" si="1095"/>
        <v>1.1999999999999993</v>
      </c>
      <c r="M419" s="53">
        <f t="shared" si="1096"/>
        <v>1273.1999999999991</v>
      </c>
    </row>
    <row r="420" spans="1:13" ht="15" customHeight="1">
      <c r="A420" s="54">
        <v>43389</v>
      </c>
      <c r="B420" s="48" t="s">
        <v>49</v>
      </c>
      <c r="C420" s="49" t="s">
        <v>16</v>
      </c>
      <c r="D420" s="49">
        <v>580</v>
      </c>
      <c r="E420" s="50">
        <v>1061</v>
      </c>
      <c r="F420" s="48" t="s">
        <v>15</v>
      </c>
      <c r="G420" s="51">
        <v>16.45</v>
      </c>
      <c r="H420" s="51">
        <v>17.649999999999999</v>
      </c>
      <c r="I420" s="51">
        <v>0</v>
      </c>
      <c r="J420" s="52">
        <f t="shared" si="1094"/>
        <v>1273.1999999999991</v>
      </c>
      <c r="K420" s="52">
        <v>0</v>
      </c>
      <c r="L420" s="53">
        <f t="shared" si="1095"/>
        <v>1.1999999999999993</v>
      </c>
      <c r="M420" s="53">
        <f t="shared" si="1096"/>
        <v>1273.1999999999991</v>
      </c>
    </row>
    <row r="421" spans="1:13" ht="15" customHeight="1">
      <c r="A421" s="54">
        <v>43389</v>
      </c>
      <c r="B421" s="48" t="s">
        <v>50</v>
      </c>
      <c r="C421" s="49" t="s">
        <v>16</v>
      </c>
      <c r="D421" s="49">
        <v>600</v>
      </c>
      <c r="E421" s="50">
        <v>1100</v>
      </c>
      <c r="F421" s="48" t="s">
        <v>15</v>
      </c>
      <c r="G421" s="51">
        <v>19</v>
      </c>
      <c r="H421" s="51">
        <v>16</v>
      </c>
      <c r="I421" s="51">
        <v>0</v>
      </c>
      <c r="J421" s="52">
        <f t="shared" si="1094"/>
        <v>-3300</v>
      </c>
      <c r="K421" s="52">
        <v>0</v>
      </c>
      <c r="L421" s="53">
        <f t="shared" si="1095"/>
        <v>-3</v>
      </c>
      <c r="M421" s="53">
        <f t="shared" si="1096"/>
        <v>-3300</v>
      </c>
    </row>
    <row r="422" spans="1:13" ht="15" customHeight="1">
      <c r="A422" s="54">
        <v>43385</v>
      </c>
      <c r="B422" s="48" t="s">
        <v>48</v>
      </c>
      <c r="C422" s="49" t="s">
        <v>16</v>
      </c>
      <c r="D422" s="49">
        <v>580</v>
      </c>
      <c r="E422" s="50">
        <v>1200</v>
      </c>
      <c r="F422" s="48" t="s">
        <v>15</v>
      </c>
      <c r="G422" s="51">
        <v>21.25</v>
      </c>
      <c r="H422" s="51">
        <v>22.75</v>
      </c>
      <c r="I422" s="51">
        <v>24</v>
      </c>
      <c r="J422" s="52">
        <f t="shared" si="1094"/>
        <v>1800</v>
      </c>
      <c r="K422" s="52">
        <v>1450</v>
      </c>
      <c r="L422" s="53">
        <f t="shared" si="1095"/>
        <v>2.7083333333333335</v>
      </c>
      <c r="M422" s="53">
        <f t="shared" si="1096"/>
        <v>3250</v>
      </c>
    </row>
    <row r="423" spans="1:13" ht="15" customHeight="1">
      <c r="A423" s="54">
        <v>43385</v>
      </c>
      <c r="B423" s="48" t="s">
        <v>51</v>
      </c>
      <c r="C423" s="49" t="s">
        <v>16</v>
      </c>
      <c r="D423" s="49">
        <v>260</v>
      </c>
      <c r="E423" s="50">
        <v>1500</v>
      </c>
      <c r="F423" s="48" t="s">
        <v>15</v>
      </c>
      <c r="G423" s="51">
        <v>14.15</v>
      </c>
      <c r="H423" s="51">
        <v>15.5</v>
      </c>
      <c r="I423" s="51">
        <v>17</v>
      </c>
      <c r="J423" s="52">
        <f t="shared" si="1094"/>
        <v>2024.9999999999995</v>
      </c>
      <c r="K423" s="52">
        <v>2250</v>
      </c>
      <c r="L423" s="53">
        <f t="shared" si="1095"/>
        <v>2.85</v>
      </c>
      <c r="M423" s="53">
        <f t="shared" si="1096"/>
        <v>4275</v>
      </c>
    </row>
    <row r="424" spans="1:13" ht="15" customHeight="1">
      <c r="A424" s="54">
        <v>43384</v>
      </c>
      <c r="B424" s="48" t="s">
        <v>52</v>
      </c>
      <c r="C424" s="49" t="s">
        <v>14</v>
      </c>
      <c r="D424" s="49">
        <v>760</v>
      </c>
      <c r="E424" s="50">
        <v>700</v>
      </c>
      <c r="F424" s="48" t="s">
        <v>15</v>
      </c>
      <c r="G424" s="51">
        <v>25.75</v>
      </c>
      <c r="H424" s="51">
        <v>27.25</v>
      </c>
      <c r="I424" s="51">
        <v>0</v>
      </c>
      <c r="J424" s="52">
        <f t="shared" si="1094"/>
        <v>1050</v>
      </c>
      <c r="K424" s="52">
        <v>0</v>
      </c>
      <c r="L424" s="53">
        <f t="shared" si="1095"/>
        <v>1.5</v>
      </c>
      <c r="M424" s="53">
        <f t="shared" si="1096"/>
        <v>1050</v>
      </c>
    </row>
    <row r="425" spans="1:13" ht="15" customHeight="1">
      <c r="A425" s="54">
        <v>43383</v>
      </c>
      <c r="B425" s="48" t="s">
        <v>53</v>
      </c>
      <c r="C425" s="49" t="s">
        <v>16</v>
      </c>
      <c r="D425" s="49">
        <v>460</v>
      </c>
      <c r="E425" s="50">
        <v>1300</v>
      </c>
      <c r="F425" s="48" t="s">
        <v>15</v>
      </c>
      <c r="G425" s="51">
        <v>14.25</v>
      </c>
      <c r="H425" s="51">
        <v>15.5</v>
      </c>
      <c r="I425" s="51">
        <v>17</v>
      </c>
      <c r="J425" s="52">
        <f t="shared" si="1094"/>
        <v>1625</v>
      </c>
      <c r="K425" s="52">
        <v>1950</v>
      </c>
      <c r="L425" s="53">
        <f t="shared" si="1095"/>
        <v>2.75</v>
      </c>
      <c r="M425" s="53">
        <f t="shared" si="1096"/>
        <v>3575</v>
      </c>
    </row>
    <row r="426" spans="1:13" ht="15" customHeight="1">
      <c r="A426" s="54">
        <v>43382</v>
      </c>
      <c r="B426" s="48" t="s">
        <v>54</v>
      </c>
      <c r="C426" s="49" t="s">
        <v>16</v>
      </c>
      <c r="D426" s="49">
        <v>1000</v>
      </c>
      <c r="E426" s="50">
        <v>500</v>
      </c>
      <c r="F426" s="48" t="s">
        <v>15</v>
      </c>
      <c r="G426" s="51">
        <v>37.15</v>
      </c>
      <c r="H426" s="51">
        <v>40.15</v>
      </c>
      <c r="I426" s="51">
        <v>0</v>
      </c>
      <c r="J426" s="52">
        <f t="shared" si="1094"/>
        <v>1500</v>
      </c>
      <c r="K426" s="52">
        <v>0</v>
      </c>
      <c r="L426" s="53">
        <f t="shared" si="1095"/>
        <v>3</v>
      </c>
      <c r="M426" s="53">
        <f t="shared" si="1096"/>
        <v>1500</v>
      </c>
    </row>
    <row r="427" spans="1:13" ht="15" customHeight="1">
      <c r="A427" s="54">
        <v>43382</v>
      </c>
      <c r="B427" s="48" t="s">
        <v>25</v>
      </c>
      <c r="C427" s="49" t="s">
        <v>14</v>
      </c>
      <c r="D427" s="49">
        <v>1720</v>
      </c>
      <c r="E427" s="50">
        <v>500</v>
      </c>
      <c r="F427" s="48" t="s">
        <v>15</v>
      </c>
      <c r="G427" s="51">
        <v>44</v>
      </c>
      <c r="H427" s="51">
        <v>48.95</v>
      </c>
      <c r="I427" s="51">
        <v>0</v>
      </c>
      <c r="J427" s="52">
        <f t="shared" si="1094"/>
        <v>2475.0000000000014</v>
      </c>
      <c r="K427" s="52">
        <v>0</v>
      </c>
      <c r="L427" s="53">
        <f t="shared" si="1095"/>
        <v>4.9500000000000028</v>
      </c>
      <c r="M427" s="53">
        <f t="shared" si="1096"/>
        <v>2475.0000000000014</v>
      </c>
    </row>
    <row r="428" spans="1:13" ht="15" customHeight="1">
      <c r="A428" s="54">
        <v>43381</v>
      </c>
      <c r="B428" s="48" t="s">
        <v>55</v>
      </c>
      <c r="C428" s="49" t="s">
        <v>14</v>
      </c>
      <c r="D428" s="49">
        <v>700</v>
      </c>
      <c r="E428" s="50">
        <v>1200</v>
      </c>
      <c r="F428" s="48" t="s">
        <v>15</v>
      </c>
      <c r="G428" s="51">
        <v>22</v>
      </c>
      <c r="H428" s="51">
        <v>24</v>
      </c>
      <c r="I428" s="51">
        <v>26</v>
      </c>
      <c r="J428" s="52">
        <f t="shared" si="1094"/>
        <v>2400</v>
      </c>
      <c r="K428" s="52">
        <v>2400</v>
      </c>
      <c r="L428" s="53">
        <f t="shared" si="1095"/>
        <v>4</v>
      </c>
      <c r="M428" s="53">
        <f t="shared" si="1096"/>
        <v>4800</v>
      </c>
    </row>
    <row r="429" spans="1:13" ht="15" customHeight="1">
      <c r="A429" s="54">
        <v>43381</v>
      </c>
      <c r="B429" s="48" t="s">
        <v>51</v>
      </c>
      <c r="C429" s="49" t="s">
        <v>14</v>
      </c>
      <c r="D429" s="49">
        <v>220</v>
      </c>
      <c r="E429" s="50">
        <v>1500</v>
      </c>
      <c r="F429" s="48" t="s">
        <v>15</v>
      </c>
      <c r="G429" s="51">
        <v>17.5</v>
      </c>
      <c r="H429" s="51">
        <v>19</v>
      </c>
      <c r="I429" s="51">
        <v>21</v>
      </c>
      <c r="J429" s="52">
        <f t="shared" si="1094"/>
        <v>2250</v>
      </c>
      <c r="K429" s="52">
        <v>3000</v>
      </c>
      <c r="L429" s="53">
        <f t="shared" si="1095"/>
        <v>3.5</v>
      </c>
      <c r="M429" s="53">
        <f t="shared" si="1096"/>
        <v>5250</v>
      </c>
    </row>
    <row r="430" spans="1:13" ht="15" customHeight="1">
      <c r="A430" s="54">
        <v>43377</v>
      </c>
      <c r="B430" s="48" t="s">
        <v>56</v>
      </c>
      <c r="C430" s="49" t="s">
        <v>14</v>
      </c>
      <c r="D430" s="49">
        <v>390</v>
      </c>
      <c r="E430" s="50">
        <v>1800</v>
      </c>
      <c r="F430" s="48" t="s">
        <v>15</v>
      </c>
      <c r="G430" s="51">
        <v>13</v>
      </c>
      <c r="H430" s="51">
        <v>14</v>
      </c>
      <c r="I430" s="51">
        <v>0</v>
      </c>
      <c r="J430" s="52">
        <f t="shared" si="1094"/>
        <v>1800</v>
      </c>
      <c r="K430" s="52">
        <v>0</v>
      </c>
      <c r="L430" s="53">
        <f t="shared" si="1095"/>
        <v>1</v>
      </c>
      <c r="M430" s="53">
        <f t="shared" si="1096"/>
        <v>1800</v>
      </c>
    </row>
    <row r="431" spans="1:13" ht="15" customHeight="1">
      <c r="A431" s="54">
        <v>43376</v>
      </c>
      <c r="B431" s="48" t="s">
        <v>57</v>
      </c>
      <c r="C431" s="49" t="s">
        <v>14</v>
      </c>
      <c r="D431" s="49">
        <v>320</v>
      </c>
      <c r="E431" s="50">
        <v>2000</v>
      </c>
      <c r="F431" s="48" t="s">
        <v>15</v>
      </c>
      <c r="G431" s="51">
        <v>13.75</v>
      </c>
      <c r="H431" s="51">
        <v>15</v>
      </c>
      <c r="I431" s="51">
        <v>17</v>
      </c>
      <c r="J431" s="52">
        <f t="shared" si="1094"/>
        <v>2500</v>
      </c>
      <c r="K431" s="52">
        <v>4000</v>
      </c>
      <c r="L431" s="53">
        <f t="shared" si="1095"/>
        <v>3.25</v>
      </c>
      <c r="M431" s="53">
        <f t="shared" si="1096"/>
        <v>6500</v>
      </c>
    </row>
    <row r="432" spans="1:13" ht="15" customHeight="1">
      <c r="A432" s="54">
        <v>43374</v>
      </c>
      <c r="B432" s="48" t="s">
        <v>58</v>
      </c>
      <c r="C432" s="49" t="s">
        <v>14</v>
      </c>
      <c r="D432" s="49">
        <v>200</v>
      </c>
      <c r="E432" s="50">
        <v>3000</v>
      </c>
      <c r="F432" s="48" t="s">
        <v>15</v>
      </c>
      <c r="G432" s="51">
        <v>7.25</v>
      </c>
      <c r="H432" s="51">
        <v>8</v>
      </c>
      <c r="I432" s="51">
        <v>8.75</v>
      </c>
      <c r="J432" s="52">
        <f t="shared" si="1094"/>
        <v>2250</v>
      </c>
      <c r="K432" s="52">
        <v>2250</v>
      </c>
      <c r="L432" s="53">
        <f t="shared" si="1095"/>
        <v>1.5</v>
      </c>
      <c r="M432" s="53">
        <f t="shared" si="1096"/>
        <v>4500</v>
      </c>
    </row>
    <row r="433" spans="1:13" ht="15" customHeight="1">
      <c r="A433" s="59">
        <v>43371</v>
      </c>
      <c r="B433" s="60" t="s">
        <v>59</v>
      </c>
      <c r="C433" s="61" t="s">
        <v>14</v>
      </c>
      <c r="D433" s="61">
        <v>2000</v>
      </c>
      <c r="E433" s="60">
        <v>500</v>
      </c>
      <c r="F433" s="48" t="s">
        <v>15</v>
      </c>
      <c r="G433" s="62">
        <v>62</v>
      </c>
      <c r="H433" s="62">
        <v>66</v>
      </c>
      <c r="I433" s="62">
        <v>0</v>
      </c>
      <c r="J433" s="52">
        <f t="shared" si="1094"/>
        <v>2000</v>
      </c>
      <c r="K433" s="52">
        <v>0</v>
      </c>
      <c r="L433" s="53">
        <f t="shared" si="1095"/>
        <v>4</v>
      </c>
      <c r="M433" s="53">
        <f t="shared" si="1096"/>
        <v>2000</v>
      </c>
    </row>
    <row r="434" spans="1:13" ht="15" customHeight="1">
      <c r="A434" s="59">
        <v>43369</v>
      </c>
      <c r="B434" s="60" t="s">
        <v>21</v>
      </c>
      <c r="C434" s="61" t="s">
        <v>16</v>
      </c>
      <c r="D434" s="61">
        <v>240</v>
      </c>
      <c r="E434" s="60">
        <v>1750</v>
      </c>
      <c r="F434" s="48" t="s">
        <v>15</v>
      </c>
      <c r="G434" s="62">
        <v>5</v>
      </c>
      <c r="H434" s="62">
        <v>5.75</v>
      </c>
      <c r="I434" s="62">
        <v>0</v>
      </c>
      <c r="J434" s="52">
        <f t="shared" si="1094"/>
        <v>1312.5</v>
      </c>
      <c r="K434" s="52">
        <v>0</v>
      </c>
      <c r="L434" s="53">
        <f t="shared" si="1095"/>
        <v>0.75</v>
      </c>
      <c r="M434" s="53">
        <f t="shared" si="1096"/>
        <v>1312.5</v>
      </c>
    </row>
    <row r="435" spans="1:13" ht="15" customHeight="1">
      <c r="A435" s="59">
        <v>43364</v>
      </c>
      <c r="B435" s="60" t="s">
        <v>60</v>
      </c>
      <c r="C435" s="61" t="s">
        <v>14</v>
      </c>
      <c r="D435" s="61">
        <v>2400</v>
      </c>
      <c r="E435" s="60">
        <v>500</v>
      </c>
      <c r="F435" s="48" t="s">
        <v>15</v>
      </c>
      <c r="G435" s="62">
        <v>50</v>
      </c>
      <c r="H435" s="62">
        <v>60</v>
      </c>
      <c r="I435" s="62">
        <v>0</v>
      </c>
      <c r="J435" s="52">
        <f t="shared" si="1094"/>
        <v>5000</v>
      </c>
      <c r="K435" s="52">
        <v>0</v>
      </c>
      <c r="L435" s="53">
        <f t="shared" si="1095"/>
        <v>10</v>
      </c>
      <c r="M435" s="53">
        <f t="shared" si="1096"/>
        <v>5000</v>
      </c>
    </row>
    <row r="436" spans="1:13" ht="15" customHeight="1">
      <c r="A436" s="59">
        <v>43355</v>
      </c>
      <c r="B436" s="60" t="s">
        <v>61</v>
      </c>
      <c r="C436" s="61" t="s">
        <v>16</v>
      </c>
      <c r="D436" s="61">
        <v>430</v>
      </c>
      <c r="E436" s="60">
        <v>1250</v>
      </c>
      <c r="F436" s="48" t="s">
        <v>15</v>
      </c>
      <c r="G436" s="62">
        <v>12.9</v>
      </c>
      <c r="H436" s="62">
        <v>13.9</v>
      </c>
      <c r="I436" s="62">
        <v>0</v>
      </c>
      <c r="J436" s="52">
        <f t="shared" si="1094"/>
        <v>1250</v>
      </c>
      <c r="K436" s="52">
        <v>0</v>
      </c>
      <c r="L436" s="53">
        <f t="shared" si="1095"/>
        <v>1</v>
      </c>
      <c r="M436" s="53">
        <f t="shared" si="1096"/>
        <v>1250</v>
      </c>
    </row>
    <row r="437" spans="1:13" ht="15" customHeight="1">
      <c r="A437" s="59">
        <v>43349</v>
      </c>
      <c r="B437" s="60" t="s">
        <v>62</v>
      </c>
      <c r="C437" s="61" t="s">
        <v>16</v>
      </c>
      <c r="D437" s="61">
        <v>165</v>
      </c>
      <c r="E437" s="60">
        <v>4500</v>
      </c>
      <c r="F437" s="48" t="s">
        <v>15</v>
      </c>
      <c r="G437" s="62">
        <v>5.8</v>
      </c>
      <c r="H437" s="62">
        <v>6.2</v>
      </c>
      <c r="I437" s="62">
        <v>0</v>
      </c>
      <c r="J437" s="52">
        <f t="shared" si="1094"/>
        <v>1800.0000000000016</v>
      </c>
      <c r="K437" s="52">
        <v>0</v>
      </c>
      <c r="L437" s="53">
        <f t="shared" si="1095"/>
        <v>0.40000000000000036</v>
      </c>
      <c r="M437" s="53">
        <f t="shared" si="1096"/>
        <v>1800.0000000000016</v>
      </c>
    </row>
    <row r="438" spans="1:13" ht="15" customHeight="1">
      <c r="A438" s="59">
        <v>43346</v>
      </c>
      <c r="B438" s="60" t="s">
        <v>63</v>
      </c>
      <c r="C438" s="61" t="s">
        <v>16</v>
      </c>
      <c r="D438" s="61">
        <v>130</v>
      </c>
      <c r="E438" s="60">
        <v>3500</v>
      </c>
      <c r="F438" s="48" t="s">
        <v>15</v>
      </c>
      <c r="G438" s="62">
        <v>5.5</v>
      </c>
      <c r="H438" s="62">
        <v>6.2</v>
      </c>
      <c r="I438" s="62">
        <v>0</v>
      </c>
      <c r="J438" s="52">
        <f t="shared" si="1094"/>
        <v>2450.0000000000005</v>
      </c>
      <c r="K438" s="52">
        <v>0</v>
      </c>
      <c r="L438" s="53">
        <f t="shared" si="1095"/>
        <v>0.70000000000000018</v>
      </c>
      <c r="M438" s="53">
        <f t="shared" si="1096"/>
        <v>2450.0000000000005</v>
      </c>
    </row>
    <row r="439" spans="1:13" ht="15" customHeight="1">
      <c r="A439" s="59">
        <v>43346</v>
      </c>
      <c r="B439" s="60" t="s">
        <v>64</v>
      </c>
      <c r="C439" s="61" t="s">
        <v>16</v>
      </c>
      <c r="D439" s="61">
        <v>2800</v>
      </c>
      <c r="E439" s="60">
        <v>250</v>
      </c>
      <c r="F439" s="48" t="s">
        <v>15</v>
      </c>
      <c r="G439" s="62">
        <v>68.5</v>
      </c>
      <c r="H439" s="62">
        <v>75</v>
      </c>
      <c r="I439" s="62">
        <v>0</v>
      </c>
      <c r="J439" s="52">
        <f t="shared" si="1094"/>
        <v>1625</v>
      </c>
      <c r="K439" s="52">
        <v>0</v>
      </c>
      <c r="L439" s="53">
        <f t="shared" si="1095"/>
        <v>6.5</v>
      </c>
      <c r="M439" s="53">
        <f t="shared" si="1096"/>
        <v>1625</v>
      </c>
    </row>
    <row r="440" spans="1:13" ht="15" customHeight="1">
      <c r="A440" s="59">
        <v>43343</v>
      </c>
      <c r="B440" s="60" t="s">
        <v>24</v>
      </c>
      <c r="C440" s="61" t="s">
        <v>16</v>
      </c>
      <c r="D440" s="61">
        <v>1400</v>
      </c>
      <c r="E440" s="60">
        <v>750</v>
      </c>
      <c r="F440" s="48" t="s">
        <v>15</v>
      </c>
      <c r="G440" s="62">
        <v>39.5</v>
      </c>
      <c r="H440" s="62">
        <v>44</v>
      </c>
      <c r="I440" s="62">
        <v>0</v>
      </c>
      <c r="J440" s="52">
        <f t="shared" si="1094"/>
        <v>3375</v>
      </c>
      <c r="K440" s="52">
        <v>0</v>
      </c>
      <c r="L440" s="53">
        <f t="shared" si="1095"/>
        <v>4.5</v>
      </c>
      <c r="M440" s="53">
        <f t="shared" si="1096"/>
        <v>3375</v>
      </c>
    </row>
    <row r="441" spans="1:13" ht="15" customHeight="1">
      <c r="A441" s="59">
        <v>43343</v>
      </c>
      <c r="B441" s="60" t="s">
        <v>65</v>
      </c>
      <c r="C441" s="61" t="s">
        <v>16</v>
      </c>
      <c r="D441" s="61">
        <v>2150</v>
      </c>
      <c r="E441" s="60">
        <v>1200</v>
      </c>
      <c r="F441" s="48" t="s">
        <v>15</v>
      </c>
      <c r="G441" s="62">
        <v>43.5</v>
      </c>
      <c r="H441" s="62">
        <v>46.5</v>
      </c>
      <c r="I441" s="62">
        <v>0</v>
      </c>
      <c r="J441" s="52">
        <f t="shared" si="1094"/>
        <v>3600</v>
      </c>
      <c r="K441" s="52">
        <v>0</v>
      </c>
      <c r="L441" s="53">
        <f t="shared" si="1095"/>
        <v>3</v>
      </c>
      <c r="M441" s="53">
        <f t="shared" si="1096"/>
        <v>3600</v>
      </c>
    </row>
    <row r="442" spans="1:13" ht="15" customHeight="1">
      <c r="A442" s="59">
        <v>43322</v>
      </c>
      <c r="B442" s="60" t="s">
        <v>66</v>
      </c>
      <c r="C442" s="61" t="s">
        <v>16</v>
      </c>
      <c r="D442" s="61">
        <v>640</v>
      </c>
      <c r="E442" s="60">
        <v>1500</v>
      </c>
      <c r="F442" s="48" t="s">
        <v>15</v>
      </c>
      <c r="G442" s="62">
        <v>17.350000000000001</v>
      </c>
      <c r="H442" s="62">
        <v>13</v>
      </c>
      <c r="I442" s="62">
        <v>0</v>
      </c>
      <c r="J442" s="52">
        <f t="shared" si="1094"/>
        <v>-6525.0000000000018</v>
      </c>
      <c r="K442" s="52">
        <v>0</v>
      </c>
      <c r="L442" s="53">
        <f t="shared" si="1095"/>
        <v>-4.3500000000000014</v>
      </c>
      <c r="M442" s="53">
        <f t="shared" si="1096"/>
        <v>-6525.0000000000018</v>
      </c>
    </row>
    <row r="443" spans="1:13" ht="15" customHeight="1">
      <c r="A443" s="59">
        <v>43318</v>
      </c>
      <c r="B443" s="60" t="s">
        <v>67</v>
      </c>
      <c r="C443" s="61" t="s">
        <v>16</v>
      </c>
      <c r="D443" s="61">
        <v>75</v>
      </c>
      <c r="E443" s="60">
        <v>7000</v>
      </c>
      <c r="F443" s="48" t="s">
        <v>15</v>
      </c>
      <c r="G443" s="62">
        <v>4.8499999999999996</v>
      </c>
      <c r="H443" s="62">
        <v>5.3</v>
      </c>
      <c r="I443" s="62">
        <v>0</v>
      </c>
      <c r="J443" s="52">
        <f t="shared" si="1094"/>
        <v>3150.0000000000014</v>
      </c>
      <c r="K443" s="52">
        <v>0</v>
      </c>
      <c r="L443" s="53">
        <f t="shared" si="1095"/>
        <v>0.45000000000000018</v>
      </c>
      <c r="M443" s="53">
        <f t="shared" si="1096"/>
        <v>3150.0000000000014</v>
      </c>
    </row>
    <row r="444" spans="1:13" ht="15" customHeight="1">
      <c r="A444" s="59">
        <v>43312</v>
      </c>
      <c r="B444" s="60" t="s">
        <v>68</v>
      </c>
      <c r="C444" s="61" t="s">
        <v>16</v>
      </c>
      <c r="D444" s="61">
        <v>2150</v>
      </c>
      <c r="E444" s="60">
        <v>250</v>
      </c>
      <c r="F444" s="48" t="s">
        <v>15</v>
      </c>
      <c r="G444" s="62">
        <v>70</v>
      </c>
      <c r="H444" s="62">
        <v>77</v>
      </c>
      <c r="I444" s="62">
        <v>0</v>
      </c>
      <c r="J444" s="52">
        <f t="shared" si="1094"/>
        <v>1750</v>
      </c>
      <c r="K444" s="52">
        <v>0</v>
      </c>
      <c r="L444" s="53">
        <f t="shared" si="1095"/>
        <v>7</v>
      </c>
      <c r="M444" s="53">
        <f t="shared" si="1096"/>
        <v>1750</v>
      </c>
    </row>
    <row r="445" spans="1:13" ht="15" customHeight="1">
      <c r="A445" s="59">
        <v>43308</v>
      </c>
      <c r="B445" s="60" t="s">
        <v>69</v>
      </c>
      <c r="C445" s="61" t="s">
        <v>16</v>
      </c>
      <c r="D445" s="61">
        <v>3250</v>
      </c>
      <c r="E445" s="60">
        <v>200</v>
      </c>
      <c r="F445" s="48" t="s">
        <v>15</v>
      </c>
      <c r="G445" s="62">
        <v>77.099999999999994</v>
      </c>
      <c r="H445" s="62">
        <v>84</v>
      </c>
      <c r="I445" s="62">
        <v>0</v>
      </c>
      <c r="J445" s="52">
        <f t="shared" si="1094"/>
        <v>1380.0000000000011</v>
      </c>
      <c r="K445" s="52">
        <v>0</v>
      </c>
      <c r="L445" s="53">
        <f t="shared" si="1095"/>
        <v>6.9000000000000057</v>
      </c>
      <c r="M445" s="53">
        <f t="shared" si="1096"/>
        <v>1380.0000000000011</v>
      </c>
    </row>
    <row r="446" spans="1:13" ht="15" customHeight="1">
      <c r="A446" s="59">
        <v>43308</v>
      </c>
      <c r="B446" s="60" t="s">
        <v>70</v>
      </c>
      <c r="C446" s="61" t="s">
        <v>16</v>
      </c>
      <c r="D446" s="61">
        <v>950</v>
      </c>
      <c r="E446" s="60">
        <v>550</v>
      </c>
      <c r="F446" s="48" t="s">
        <v>15</v>
      </c>
      <c r="G446" s="62">
        <v>46</v>
      </c>
      <c r="H446" s="62">
        <v>52</v>
      </c>
      <c r="I446" s="62">
        <v>0</v>
      </c>
      <c r="J446" s="52">
        <f t="shared" si="1094"/>
        <v>3300</v>
      </c>
      <c r="K446" s="52">
        <v>0</v>
      </c>
      <c r="L446" s="53">
        <f t="shared" si="1095"/>
        <v>6</v>
      </c>
      <c r="M446" s="53">
        <f t="shared" si="1096"/>
        <v>3300</v>
      </c>
    </row>
    <row r="447" spans="1:13" ht="15" customHeight="1">
      <c r="A447" s="59">
        <v>43307</v>
      </c>
      <c r="B447" s="60" t="s">
        <v>68</v>
      </c>
      <c r="C447" s="61" t="s">
        <v>16</v>
      </c>
      <c r="D447" s="61">
        <v>2100</v>
      </c>
      <c r="E447" s="60">
        <v>250</v>
      </c>
      <c r="F447" s="48" t="s">
        <v>15</v>
      </c>
      <c r="G447" s="62">
        <v>18</v>
      </c>
      <c r="H447" s="62">
        <v>23</v>
      </c>
      <c r="I447" s="62">
        <v>35</v>
      </c>
      <c r="J447" s="52">
        <f t="shared" si="1094"/>
        <v>1250</v>
      </c>
      <c r="K447" s="52">
        <f t="shared" ref="K447" si="1097">(IF(F447="SELL",IF(I447="",0,H447-I447),IF(F447="BUY",IF(I447="",0,I447-H447))))*E447</f>
        <v>3000</v>
      </c>
      <c r="L447" s="53">
        <f t="shared" si="1095"/>
        <v>17</v>
      </c>
      <c r="M447" s="53">
        <f t="shared" si="1096"/>
        <v>4250</v>
      </c>
    </row>
    <row r="448" spans="1:13" ht="15" customHeight="1">
      <c r="A448" s="59">
        <v>43304</v>
      </c>
      <c r="B448" s="60" t="s">
        <v>71</v>
      </c>
      <c r="C448" s="61" t="s">
        <v>16</v>
      </c>
      <c r="D448" s="61">
        <v>350</v>
      </c>
      <c r="E448" s="60">
        <v>1500</v>
      </c>
      <c r="F448" s="48" t="s">
        <v>15</v>
      </c>
      <c r="G448" s="62">
        <v>10.5</v>
      </c>
      <c r="H448" s="62">
        <v>13.5</v>
      </c>
      <c r="I448" s="62">
        <v>0</v>
      </c>
      <c r="J448" s="52">
        <f t="shared" si="1094"/>
        <v>4500</v>
      </c>
      <c r="K448" s="52">
        <v>0</v>
      </c>
      <c r="L448" s="53">
        <f t="shared" si="1095"/>
        <v>3</v>
      </c>
      <c r="M448" s="53">
        <f t="shared" si="1096"/>
        <v>4500</v>
      </c>
    </row>
    <row r="449" spans="1:13" ht="15" customHeight="1">
      <c r="A449" s="59">
        <v>43297</v>
      </c>
      <c r="B449" s="60" t="s">
        <v>72</v>
      </c>
      <c r="C449" s="61" t="s">
        <v>16</v>
      </c>
      <c r="D449" s="61">
        <v>390</v>
      </c>
      <c r="E449" s="60">
        <v>1800</v>
      </c>
      <c r="F449" s="48" t="s">
        <v>15</v>
      </c>
      <c r="G449" s="62">
        <v>11.5</v>
      </c>
      <c r="H449" s="62">
        <v>8</v>
      </c>
      <c r="I449" s="62">
        <v>0</v>
      </c>
      <c r="J449" s="52">
        <f t="shared" si="1094"/>
        <v>-6300</v>
      </c>
      <c r="K449" s="52">
        <v>0</v>
      </c>
      <c r="L449" s="53">
        <f t="shared" si="1095"/>
        <v>-3.5</v>
      </c>
      <c r="M449" s="53">
        <f t="shared" si="1096"/>
        <v>-6300</v>
      </c>
    </row>
    <row r="450" spans="1:13" ht="15" customHeight="1">
      <c r="A450" s="59">
        <v>43293</v>
      </c>
      <c r="B450" s="60" t="s">
        <v>73</v>
      </c>
      <c r="C450" s="61" t="s">
        <v>16</v>
      </c>
      <c r="D450" s="61">
        <v>320</v>
      </c>
      <c r="E450" s="60">
        <v>3000</v>
      </c>
      <c r="F450" s="48" t="s">
        <v>15</v>
      </c>
      <c r="G450" s="62">
        <v>8.25</v>
      </c>
      <c r="H450" s="62">
        <v>9</v>
      </c>
      <c r="I450" s="62">
        <v>0</v>
      </c>
      <c r="J450" s="52">
        <f t="shared" si="1094"/>
        <v>2250</v>
      </c>
      <c r="K450" s="52">
        <v>0</v>
      </c>
      <c r="L450" s="53">
        <f t="shared" si="1095"/>
        <v>0.75</v>
      </c>
      <c r="M450" s="53">
        <f t="shared" si="1096"/>
        <v>2250</v>
      </c>
    </row>
    <row r="451" spans="1:13" ht="15" customHeight="1">
      <c r="A451" s="59">
        <v>43287</v>
      </c>
      <c r="B451" s="60" t="s">
        <v>74</v>
      </c>
      <c r="C451" s="61" t="s">
        <v>16</v>
      </c>
      <c r="D451" s="61">
        <v>850</v>
      </c>
      <c r="E451" s="60">
        <v>500</v>
      </c>
      <c r="F451" s="48" t="s">
        <v>15</v>
      </c>
      <c r="G451" s="62">
        <v>33</v>
      </c>
      <c r="H451" s="62">
        <v>37</v>
      </c>
      <c r="I451" s="62">
        <v>0</v>
      </c>
      <c r="J451" s="52">
        <f t="shared" si="1094"/>
        <v>2000</v>
      </c>
      <c r="K451" s="52">
        <v>0</v>
      </c>
      <c r="L451" s="53">
        <f t="shared" si="1095"/>
        <v>4</v>
      </c>
      <c r="M451" s="53">
        <f t="shared" si="1096"/>
        <v>2000</v>
      </c>
    </row>
    <row r="452" spans="1:13" ht="15" customHeight="1">
      <c r="A452" s="59">
        <v>43287</v>
      </c>
      <c r="B452" s="60" t="s">
        <v>75</v>
      </c>
      <c r="C452" s="61" t="s">
        <v>14</v>
      </c>
      <c r="D452" s="61">
        <v>1375</v>
      </c>
      <c r="E452" s="60">
        <v>500</v>
      </c>
      <c r="F452" s="48" t="s">
        <v>15</v>
      </c>
      <c r="G452" s="62">
        <v>39.200000000000003</v>
      </c>
      <c r="H452" s="62">
        <v>44</v>
      </c>
      <c r="I452" s="62">
        <v>50</v>
      </c>
      <c r="J452" s="52">
        <f t="shared" si="1094"/>
        <v>2399.9999999999986</v>
      </c>
      <c r="K452" s="52">
        <f t="shared" ref="K452" si="1098">(IF(F452="SELL",IF(I452="",0,H452-I452),IF(F452="BUY",IF(I452="",0,I452-H452))))*E452</f>
        <v>3000</v>
      </c>
      <c r="L452" s="53">
        <f t="shared" si="1095"/>
        <v>10.799999999999997</v>
      </c>
      <c r="M452" s="53">
        <f t="shared" si="1096"/>
        <v>5399.9999999999982</v>
      </c>
    </row>
    <row r="453" spans="1:13" ht="15" customHeight="1">
      <c r="A453" s="59">
        <v>43286</v>
      </c>
      <c r="B453" s="60" t="s">
        <v>76</v>
      </c>
      <c r="C453" s="61" t="s">
        <v>14</v>
      </c>
      <c r="D453" s="61">
        <v>1340</v>
      </c>
      <c r="E453" s="60">
        <v>800</v>
      </c>
      <c r="F453" s="48" t="s">
        <v>15</v>
      </c>
      <c r="G453" s="62">
        <v>38</v>
      </c>
      <c r="H453" s="62">
        <v>42</v>
      </c>
      <c r="I453" s="62">
        <v>0</v>
      </c>
      <c r="J453" s="52">
        <f t="shared" si="1094"/>
        <v>3200</v>
      </c>
      <c r="K453" s="52">
        <v>0</v>
      </c>
      <c r="L453" s="53">
        <f t="shared" si="1095"/>
        <v>4</v>
      </c>
      <c r="M453" s="53">
        <f t="shared" si="1096"/>
        <v>3200</v>
      </c>
    </row>
    <row r="454" spans="1:13" ht="15" customHeight="1">
      <c r="A454" s="59">
        <v>43285</v>
      </c>
      <c r="B454" s="60" t="s">
        <v>24</v>
      </c>
      <c r="C454" s="61" t="s">
        <v>16</v>
      </c>
      <c r="D454" s="61">
        <v>1150</v>
      </c>
      <c r="E454" s="60">
        <v>750</v>
      </c>
      <c r="F454" s="48" t="s">
        <v>15</v>
      </c>
      <c r="G454" s="62">
        <v>34</v>
      </c>
      <c r="H454" s="62">
        <v>37</v>
      </c>
      <c r="I454" s="62">
        <v>0</v>
      </c>
      <c r="J454" s="52">
        <f t="shared" si="1094"/>
        <v>2250</v>
      </c>
      <c r="K454" s="52">
        <v>0</v>
      </c>
      <c r="L454" s="53">
        <f t="shared" si="1095"/>
        <v>3</v>
      </c>
      <c r="M454" s="53">
        <f t="shared" si="1096"/>
        <v>2250</v>
      </c>
    </row>
    <row r="455" spans="1:13" ht="15" customHeight="1">
      <c r="A455" s="59">
        <v>43265</v>
      </c>
      <c r="B455" s="60" t="s">
        <v>73</v>
      </c>
      <c r="C455" s="61" t="s">
        <v>14</v>
      </c>
      <c r="D455" s="61">
        <v>340</v>
      </c>
      <c r="E455" s="60">
        <v>3000</v>
      </c>
      <c r="F455" s="48" t="s">
        <v>15</v>
      </c>
      <c r="G455" s="62">
        <v>8.5</v>
      </c>
      <c r="H455" s="62">
        <v>9.5</v>
      </c>
      <c r="I455" s="62">
        <v>0</v>
      </c>
      <c r="J455" s="52">
        <f t="shared" si="1094"/>
        <v>3000</v>
      </c>
      <c r="K455" s="52">
        <v>0</v>
      </c>
      <c r="L455" s="53">
        <f t="shared" si="1095"/>
        <v>1</v>
      </c>
      <c r="M455" s="53">
        <f t="shared" si="1096"/>
        <v>3000</v>
      </c>
    </row>
    <row r="456" spans="1:13" ht="15" customHeight="1">
      <c r="A456" s="59">
        <v>43259</v>
      </c>
      <c r="B456" s="60" t="s">
        <v>74</v>
      </c>
      <c r="C456" s="61" t="s">
        <v>16</v>
      </c>
      <c r="D456" s="61">
        <v>950</v>
      </c>
      <c r="E456" s="60">
        <v>500</v>
      </c>
      <c r="F456" s="48" t="s">
        <v>15</v>
      </c>
      <c r="G456" s="62">
        <v>32</v>
      </c>
      <c r="H456" s="62">
        <v>25</v>
      </c>
      <c r="I456" s="62">
        <v>0</v>
      </c>
      <c r="J456" s="52">
        <f t="shared" si="1094"/>
        <v>-3500</v>
      </c>
      <c r="K456" s="52">
        <v>0</v>
      </c>
      <c r="L456" s="53">
        <f t="shared" si="1095"/>
        <v>-7</v>
      </c>
      <c r="M456" s="53">
        <f t="shared" si="1096"/>
        <v>-3500</v>
      </c>
    </row>
    <row r="457" spans="1:13" ht="15" customHeight="1">
      <c r="A457" s="59">
        <v>43258</v>
      </c>
      <c r="B457" s="60" t="s">
        <v>77</v>
      </c>
      <c r="C457" s="61" t="s">
        <v>14</v>
      </c>
      <c r="D457" s="61">
        <v>1900</v>
      </c>
      <c r="E457" s="60">
        <v>300</v>
      </c>
      <c r="F457" s="48" t="s">
        <v>15</v>
      </c>
      <c r="G457" s="62">
        <v>32</v>
      </c>
      <c r="H457" s="62">
        <v>37</v>
      </c>
      <c r="I457" s="62">
        <v>0</v>
      </c>
      <c r="J457" s="52">
        <f t="shared" si="1094"/>
        <v>1500</v>
      </c>
      <c r="K457" s="52">
        <v>0</v>
      </c>
      <c r="L457" s="53">
        <f t="shared" si="1095"/>
        <v>5</v>
      </c>
      <c r="M457" s="53">
        <f t="shared" si="1096"/>
        <v>1500</v>
      </c>
    </row>
    <row r="458" spans="1:13" ht="15" customHeight="1">
      <c r="A458" s="59">
        <v>43255</v>
      </c>
      <c r="B458" s="60" t="s">
        <v>62</v>
      </c>
      <c r="C458" s="61" t="s">
        <v>16</v>
      </c>
      <c r="D458" s="61">
        <v>170</v>
      </c>
      <c r="E458" s="60">
        <v>4500</v>
      </c>
      <c r="F458" s="48" t="s">
        <v>15</v>
      </c>
      <c r="G458" s="62">
        <v>3.9</v>
      </c>
      <c r="H458" s="62">
        <v>4.4000000000000004</v>
      </c>
      <c r="I458" s="62">
        <v>0</v>
      </c>
      <c r="J458" s="52">
        <f t="shared" si="1094"/>
        <v>2250.0000000000018</v>
      </c>
      <c r="K458" s="52">
        <v>0</v>
      </c>
      <c r="L458" s="53">
        <f t="shared" si="1095"/>
        <v>0.50000000000000044</v>
      </c>
      <c r="M458" s="53">
        <f t="shared" si="1096"/>
        <v>2250.0000000000018</v>
      </c>
    </row>
    <row r="459" spans="1:13" ht="15" customHeight="1">
      <c r="A459" s="59">
        <v>43252</v>
      </c>
      <c r="B459" s="60" t="s">
        <v>25</v>
      </c>
      <c r="C459" s="61" t="s">
        <v>16</v>
      </c>
      <c r="D459" s="61">
        <v>1850</v>
      </c>
      <c r="E459" s="60">
        <v>500</v>
      </c>
      <c r="F459" s="48" t="s">
        <v>15</v>
      </c>
      <c r="G459" s="62">
        <v>38</v>
      </c>
      <c r="H459" s="62">
        <v>42</v>
      </c>
      <c r="I459" s="62">
        <v>0</v>
      </c>
      <c r="J459" s="52">
        <f t="shared" si="1094"/>
        <v>2000</v>
      </c>
      <c r="K459" s="52">
        <v>0</v>
      </c>
      <c r="L459" s="53">
        <f t="shared" si="1095"/>
        <v>4</v>
      </c>
      <c r="M459" s="53">
        <f t="shared" si="1096"/>
        <v>2000</v>
      </c>
    </row>
    <row r="460" spans="1:13" ht="15" customHeight="1">
      <c r="A460" s="59">
        <v>43249</v>
      </c>
      <c r="B460" s="60" t="s">
        <v>78</v>
      </c>
      <c r="C460" s="61" t="s">
        <v>16</v>
      </c>
      <c r="D460" s="61">
        <v>1950</v>
      </c>
      <c r="E460" s="60">
        <v>500</v>
      </c>
      <c r="F460" s="48" t="s">
        <v>15</v>
      </c>
      <c r="G460" s="62">
        <v>40</v>
      </c>
      <c r="H460" s="62">
        <v>30</v>
      </c>
      <c r="I460" s="62">
        <v>0</v>
      </c>
      <c r="J460" s="52">
        <f t="shared" si="1094"/>
        <v>-5000</v>
      </c>
      <c r="K460" s="52">
        <v>0</v>
      </c>
      <c r="L460" s="53">
        <f t="shared" si="1095"/>
        <v>-10</v>
      </c>
      <c r="M460" s="53">
        <f t="shared" si="1096"/>
        <v>-5000</v>
      </c>
    </row>
    <row r="461" spans="1:13" ht="15" customHeight="1">
      <c r="A461" s="59">
        <v>43244</v>
      </c>
      <c r="B461" s="60" t="s">
        <v>79</v>
      </c>
      <c r="C461" s="61" t="s">
        <v>16</v>
      </c>
      <c r="D461" s="61">
        <v>1100</v>
      </c>
      <c r="E461" s="60">
        <v>750</v>
      </c>
      <c r="F461" s="48" t="s">
        <v>15</v>
      </c>
      <c r="G461" s="62">
        <v>30.5</v>
      </c>
      <c r="H461" s="62">
        <v>0</v>
      </c>
      <c r="I461" s="62">
        <v>0</v>
      </c>
      <c r="J461" s="52">
        <f t="shared" si="1094"/>
        <v>-22875</v>
      </c>
      <c r="K461" s="52">
        <v>0</v>
      </c>
      <c r="L461" s="53">
        <f t="shared" si="1095"/>
        <v>-30.5</v>
      </c>
      <c r="M461" s="53">
        <f t="shared" si="1096"/>
        <v>-22875</v>
      </c>
    </row>
    <row r="462" spans="1:13" ht="15" customHeight="1">
      <c r="A462" s="59">
        <v>43244</v>
      </c>
      <c r="B462" s="60" t="s">
        <v>57</v>
      </c>
      <c r="C462" s="61" t="s">
        <v>16</v>
      </c>
      <c r="D462" s="61">
        <v>390</v>
      </c>
      <c r="E462" s="60">
        <v>2000</v>
      </c>
      <c r="F462" s="48" t="s">
        <v>15</v>
      </c>
      <c r="G462" s="62">
        <v>5.5</v>
      </c>
      <c r="H462" s="62">
        <v>6.5</v>
      </c>
      <c r="I462" s="62">
        <v>0</v>
      </c>
      <c r="J462" s="52">
        <f t="shared" si="1094"/>
        <v>2000</v>
      </c>
      <c r="K462" s="52">
        <v>0</v>
      </c>
      <c r="L462" s="53">
        <f t="shared" si="1095"/>
        <v>1</v>
      </c>
      <c r="M462" s="53">
        <f t="shared" si="1096"/>
        <v>2000</v>
      </c>
    </row>
    <row r="463" spans="1:13" ht="15" customHeight="1">
      <c r="A463" s="59">
        <v>43243</v>
      </c>
      <c r="B463" s="60" t="s">
        <v>43</v>
      </c>
      <c r="C463" s="61" t="s">
        <v>16</v>
      </c>
      <c r="D463" s="61">
        <v>1060</v>
      </c>
      <c r="E463" s="60">
        <v>1200</v>
      </c>
      <c r="F463" s="48" t="s">
        <v>15</v>
      </c>
      <c r="G463" s="62">
        <v>15</v>
      </c>
      <c r="H463" s="62">
        <v>17.5</v>
      </c>
      <c r="I463" s="62">
        <v>0</v>
      </c>
      <c r="J463" s="52">
        <f t="shared" si="1094"/>
        <v>3000</v>
      </c>
      <c r="K463" s="52">
        <v>0</v>
      </c>
      <c r="L463" s="53">
        <f t="shared" si="1095"/>
        <v>2.5</v>
      </c>
      <c r="M463" s="53">
        <f t="shared" si="1096"/>
        <v>3000</v>
      </c>
    </row>
    <row r="464" spans="1:13" ht="15" customHeight="1">
      <c r="A464" s="59">
        <v>43243</v>
      </c>
      <c r="B464" s="60" t="s">
        <v>26</v>
      </c>
      <c r="C464" s="61" t="s">
        <v>16</v>
      </c>
      <c r="D464" s="61">
        <v>700</v>
      </c>
      <c r="E464" s="60">
        <v>1200</v>
      </c>
      <c r="F464" s="48" t="s">
        <v>15</v>
      </c>
      <c r="G464" s="62">
        <v>18</v>
      </c>
      <c r="H464" s="62">
        <v>20</v>
      </c>
      <c r="I464" s="62">
        <v>23</v>
      </c>
      <c r="J464" s="52">
        <f t="shared" si="1094"/>
        <v>2400</v>
      </c>
      <c r="K464" s="52">
        <f t="shared" ref="K464:K467" si="1099">(IF(F464="SELL",IF(I464="",0,H464-I464),IF(F464="BUY",IF(I464="",0,I464-H464))))*E464</f>
        <v>3600</v>
      </c>
      <c r="L464" s="53">
        <f t="shared" si="1095"/>
        <v>5</v>
      </c>
      <c r="M464" s="53">
        <f t="shared" si="1096"/>
        <v>6000</v>
      </c>
    </row>
    <row r="465" spans="1:13" ht="15" customHeight="1">
      <c r="A465" s="59">
        <v>43243</v>
      </c>
      <c r="B465" s="60" t="s">
        <v>80</v>
      </c>
      <c r="C465" s="61" t="s">
        <v>16</v>
      </c>
      <c r="D465" s="61">
        <v>255</v>
      </c>
      <c r="E465" s="60">
        <v>4500</v>
      </c>
      <c r="F465" s="48" t="s">
        <v>15</v>
      </c>
      <c r="G465" s="62">
        <v>6.5</v>
      </c>
      <c r="H465" s="62">
        <v>7</v>
      </c>
      <c r="I465" s="62">
        <v>8</v>
      </c>
      <c r="J465" s="52">
        <f t="shared" si="1094"/>
        <v>2250</v>
      </c>
      <c r="K465" s="52">
        <f t="shared" si="1099"/>
        <v>4500</v>
      </c>
      <c r="L465" s="53">
        <f t="shared" si="1095"/>
        <v>1.5</v>
      </c>
      <c r="M465" s="53">
        <f t="shared" si="1096"/>
        <v>6750</v>
      </c>
    </row>
    <row r="466" spans="1:13" ht="15" customHeight="1">
      <c r="A466" s="59">
        <v>43243</v>
      </c>
      <c r="B466" s="60" t="s">
        <v>79</v>
      </c>
      <c r="C466" s="61" t="s">
        <v>16</v>
      </c>
      <c r="D466" s="61">
        <v>1080</v>
      </c>
      <c r="E466" s="60">
        <v>750</v>
      </c>
      <c r="F466" s="48" t="s">
        <v>15</v>
      </c>
      <c r="G466" s="62">
        <v>26</v>
      </c>
      <c r="H466" s="62">
        <v>30</v>
      </c>
      <c r="I466" s="62">
        <v>0</v>
      </c>
      <c r="J466" s="52">
        <f t="shared" si="1094"/>
        <v>3000</v>
      </c>
      <c r="K466" s="52">
        <v>0</v>
      </c>
      <c r="L466" s="53">
        <f t="shared" si="1095"/>
        <v>4</v>
      </c>
      <c r="M466" s="53">
        <f t="shared" si="1096"/>
        <v>3000</v>
      </c>
    </row>
    <row r="467" spans="1:13" ht="15" customHeight="1">
      <c r="A467" s="59">
        <v>43237</v>
      </c>
      <c r="B467" s="60" t="s">
        <v>62</v>
      </c>
      <c r="C467" s="61" t="s">
        <v>16</v>
      </c>
      <c r="D467" s="61">
        <v>175</v>
      </c>
      <c r="E467" s="60">
        <v>4500</v>
      </c>
      <c r="F467" s="48" t="s">
        <v>15</v>
      </c>
      <c r="G467" s="62">
        <v>4.3</v>
      </c>
      <c r="H467" s="62">
        <v>5</v>
      </c>
      <c r="I467" s="62">
        <v>6</v>
      </c>
      <c r="J467" s="52">
        <f t="shared" si="1094"/>
        <v>3150.0000000000009</v>
      </c>
      <c r="K467" s="52">
        <f t="shared" si="1099"/>
        <v>4500</v>
      </c>
      <c r="L467" s="53">
        <f t="shared" si="1095"/>
        <v>1.7000000000000002</v>
      </c>
      <c r="M467" s="53">
        <f t="shared" si="1096"/>
        <v>7650.0000000000009</v>
      </c>
    </row>
    <row r="468" spans="1:13" ht="15" customHeight="1">
      <c r="A468" s="59">
        <v>43230</v>
      </c>
      <c r="B468" s="60" t="s">
        <v>81</v>
      </c>
      <c r="C468" s="61" t="s">
        <v>16</v>
      </c>
      <c r="D468" s="61">
        <v>320</v>
      </c>
      <c r="E468" s="60">
        <v>1500</v>
      </c>
      <c r="F468" s="48" t="s">
        <v>15</v>
      </c>
      <c r="G468" s="62">
        <v>12.5</v>
      </c>
      <c r="H468" s="62">
        <v>10</v>
      </c>
      <c r="I468" s="62">
        <v>0</v>
      </c>
      <c r="J468" s="52">
        <f t="shared" si="1094"/>
        <v>-3750</v>
      </c>
      <c r="K468" s="52">
        <v>0</v>
      </c>
      <c r="L468" s="53">
        <f t="shared" si="1095"/>
        <v>-2.5</v>
      </c>
      <c r="M468" s="53">
        <f t="shared" si="1096"/>
        <v>-3750</v>
      </c>
    </row>
    <row r="469" spans="1:13" ht="15" customHeight="1">
      <c r="A469" s="59">
        <v>43223</v>
      </c>
      <c r="B469" s="60" t="s">
        <v>17</v>
      </c>
      <c r="C469" s="61" t="s">
        <v>16</v>
      </c>
      <c r="D469" s="61">
        <v>220</v>
      </c>
      <c r="E469" s="60">
        <v>2500</v>
      </c>
      <c r="F469" s="48" t="s">
        <v>15</v>
      </c>
      <c r="G469" s="62">
        <v>6.75</v>
      </c>
      <c r="H469" s="62">
        <v>7.6</v>
      </c>
      <c r="I469" s="62">
        <v>0</v>
      </c>
      <c r="J469" s="52">
        <f t="shared" ref="J469:J470" si="1100">(IF(F469="SELL",G469-H469,IF(F469="BUY",H469-G469)))*E469</f>
        <v>2124.9999999999991</v>
      </c>
      <c r="K469" s="52">
        <v>0</v>
      </c>
      <c r="L469" s="53">
        <f t="shared" ref="L469:L470" si="1101">(K469+J469)/E469</f>
        <v>0.84999999999999964</v>
      </c>
      <c r="M469" s="53">
        <f t="shared" ref="M469:M470" si="1102">L469*E469</f>
        <v>2124.9999999999991</v>
      </c>
    </row>
    <row r="470" spans="1:13" ht="15" customHeight="1">
      <c r="A470" s="59">
        <v>43222</v>
      </c>
      <c r="B470" s="60" t="s">
        <v>46</v>
      </c>
      <c r="C470" s="61" t="s">
        <v>16</v>
      </c>
      <c r="D470" s="61">
        <v>900</v>
      </c>
      <c r="E470" s="60">
        <v>1000</v>
      </c>
      <c r="F470" s="48" t="s">
        <v>15</v>
      </c>
      <c r="G470" s="62">
        <v>32</v>
      </c>
      <c r="H470" s="62">
        <v>37</v>
      </c>
      <c r="I470" s="62">
        <v>0</v>
      </c>
      <c r="J470" s="52">
        <f t="shared" si="1100"/>
        <v>5000</v>
      </c>
      <c r="K470" s="52">
        <v>0</v>
      </c>
      <c r="L470" s="53">
        <f t="shared" si="1101"/>
        <v>5</v>
      </c>
      <c r="M470" s="53">
        <f t="shared" si="1102"/>
        <v>5000</v>
      </c>
    </row>
    <row r="471" spans="1:13" ht="15" customHeight="1">
      <c r="A471" s="59">
        <v>43217</v>
      </c>
      <c r="B471" s="60" t="s">
        <v>45</v>
      </c>
      <c r="C471" s="61" t="s">
        <v>16</v>
      </c>
      <c r="D471" s="61">
        <v>140</v>
      </c>
      <c r="E471" s="60">
        <v>4500</v>
      </c>
      <c r="F471" s="48" t="s">
        <v>15</v>
      </c>
      <c r="G471" s="62">
        <v>8.8000000000000007</v>
      </c>
      <c r="H471" s="62">
        <v>9.8000000000000007</v>
      </c>
      <c r="I471" s="62">
        <v>12</v>
      </c>
      <c r="J471" s="52">
        <f t="shared" ref="J471" si="1103">(IF(F471="SELL",G471-H471,IF(F471="BUY",H471-G471)))*E471</f>
        <v>4500</v>
      </c>
      <c r="K471" s="52">
        <f>(IF(F471="SELL",IF(I471="",0,H471-I471),IF(F471="BUY",IF(I471="",0,I471-H471))))*E471</f>
        <v>9899.9999999999964</v>
      </c>
      <c r="L471" s="53">
        <f t="shared" ref="L471" si="1104">(K471+J471)/E471</f>
        <v>3.1999999999999993</v>
      </c>
      <c r="M471" s="53">
        <f t="shared" ref="M471" si="1105">L471*E471</f>
        <v>14399.999999999996</v>
      </c>
    </row>
    <row r="472" spans="1:13" ht="15" customHeight="1">
      <c r="A472" s="59">
        <v>43216</v>
      </c>
      <c r="B472" s="60" t="s">
        <v>34</v>
      </c>
      <c r="C472" s="61" t="s">
        <v>16</v>
      </c>
      <c r="D472" s="61">
        <v>325</v>
      </c>
      <c r="E472" s="60">
        <v>3000</v>
      </c>
      <c r="F472" s="48" t="s">
        <v>15</v>
      </c>
      <c r="G472" s="62">
        <v>3</v>
      </c>
      <c r="H472" s="62">
        <v>4.5</v>
      </c>
      <c r="I472" s="62">
        <v>0</v>
      </c>
      <c r="J472" s="52">
        <f t="shared" ref="J472:J473" si="1106">(IF(F472="SELL",G472-H472,IF(F472="BUY",H472-G472)))*E472</f>
        <v>4500</v>
      </c>
      <c r="K472" s="52">
        <v>0</v>
      </c>
      <c r="L472" s="53">
        <f t="shared" ref="L472:L473" si="1107">(K472+J472)/E472</f>
        <v>1.5</v>
      </c>
      <c r="M472" s="53">
        <f t="shared" ref="M472:M473" si="1108">L472*E472</f>
        <v>4500</v>
      </c>
    </row>
    <row r="473" spans="1:13" ht="15" customHeight="1">
      <c r="A473" s="59">
        <v>43215</v>
      </c>
      <c r="B473" s="60" t="s">
        <v>17</v>
      </c>
      <c r="C473" s="61" t="s">
        <v>16</v>
      </c>
      <c r="D473" s="61">
        <v>220</v>
      </c>
      <c r="E473" s="60">
        <v>5000</v>
      </c>
      <c r="F473" s="48" t="s">
        <v>15</v>
      </c>
      <c r="G473" s="62">
        <v>2.4</v>
      </c>
      <c r="H473" s="62">
        <v>3.4</v>
      </c>
      <c r="I473" s="62">
        <v>0</v>
      </c>
      <c r="J473" s="52">
        <f t="shared" si="1106"/>
        <v>5000</v>
      </c>
      <c r="K473" s="52">
        <v>0</v>
      </c>
      <c r="L473" s="53">
        <f t="shared" si="1107"/>
        <v>1</v>
      </c>
      <c r="M473" s="53">
        <f t="shared" si="1108"/>
        <v>5000</v>
      </c>
    </row>
    <row r="474" spans="1:13" ht="15" customHeight="1">
      <c r="A474" s="59">
        <v>43213</v>
      </c>
      <c r="B474" s="60" t="s">
        <v>44</v>
      </c>
      <c r="C474" s="61" t="s">
        <v>16</v>
      </c>
      <c r="D474" s="61">
        <v>265</v>
      </c>
      <c r="E474" s="60">
        <v>2500</v>
      </c>
      <c r="F474" s="48" t="s">
        <v>15</v>
      </c>
      <c r="G474" s="62">
        <v>5.55</v>
      </c>
      <c r="H474" s="62">
        <v>7</v>
      </c>
      <c r="I474" s="62">
        <v>9</v>
      </c>
      <c r="J474" s="52">
        <f t="shared" ref="J474" si="1109">(IF(F474="SELL",G474-H474,IF(F474="BUY",H474-G474)))*E474</f>
        <v>3625.0000000000005</v>
      </c>
      <c r="K474" s="52">
        <f>(IF(F474="SELL",IF(I474="",0,H474-I474),IF(F474="BUY",IF(I474="",0,I474-H474))))*E474</f>
        <v>5000</v>
      </c>
      <c r="L474" s="53">
        <f t="shared" ref="L474" si="1110">(K474+J474)/E474</f>
        <v>3.45</v>
      </c>
      <c r="M474" s="53">
        <f t="shared" ref="M474" si="1111">L474*E474</f>
        <v>8625</v>
      </c>
    </row>
    <row r="475" spans="1:13" ht="15" customHeight="1">
      <c r="A475" s="59">
        <v>43207</v>
      </c>
      <c r="B475" s="60" t="s">
        <v>43</v>
      </c>
      <c r="C475" s="61" t="s">
        <v>16</v>
      </c>
      <c r="D475" s="61">
        <v>880</v>
      </c>
      <c r="E475" s="60">
        <v>1200</v>
      </c>
      <c r="F475" s="48" t="s">
        <v>15</v>
      </c>
      <c r="G475" s="62">
        <v>25</v>
      </c>
      <c r="H475" s="62">
        <v>28.6</v>
      </c>
      <c r="I475" s="62">
        <v>0</v>
      </c>
      <c r="J475" s="52">
        <f t="shared" ref="J475" si="1112">(IF(F475="SELL",G475-H475,IF(F475="BUY",H475-G475)))*E475</f>
        <v>4320.0000000000018</v>
      </c>
      <c r="K475" s="52">
        <v>0</v>
      </c>
      <c r="L475" s="53">
        <f t="shared" ref="L475" si="1113">(K475+J475)/E475</f>
        <v>3.6000000000000014</v>
      </c>
      <c r="M475" s="53">
        <f t="shared" ref="M475" si="1114">L475*E475</f>
        <v>4320.0000000000018</v>
      </c>
    </row>
    <row r="476" spans="1:13" ht="15" customHeight="1">
      <c r="A476" s="59">
        <v>43206</v>
      </c>
      <c r="B476" s="60" t="s">
        <v>29</v>
      </c>
      <c r="C476" s="61" t="s">
        <v>16</v>
      </c>
      <c r="D476" s="61">
        <v>255</v>
      </c>
      <c r="E476" s="60">
        <v>2250</v>
      </c>
      <c r="F476" s="48" t="s">
        <v>15</v>
      </c>
      <c r="G476" s="62">
        <v>7.2</v>
      </c>
      <c r="H476" s="62">
        <v>5</v>
      </c>
      <c r="I476" s="62">
        <v>0</v>
      </c>
      <c r="J476" s="52">
        <f t="shared" ref="J476" si="1115">(IF(F476="SELL",G476-H476,IF(F476="BUY",H476-G476)))*E476</f>
        <v>-4950</v>
      </c>
      <c r="K476" s="52">
        <v>0</v>
      </c>
      <c r="L476" s="53">
        <f t="shared" ref="L476" si="1116">(K476+J476)/E476</f>
        <v>-2.2000000000000002</v>
      </c>
      <c r="M476" s="53">
        <f t="shared" ref="M476" si="1117">L476*E476</f>
        <v>-4950</v>
      </c>
    </row>
    <row r="477" spans="1:13" ht="15" customHeight="1">
      <c r="A477" s="59">
        <v>43203</v>
      </c>
      <c r="B477" s="60" t="s">
        <v>42</v>
      </c>
      <c r="C477" s="61" t="s">
        <v>16</v>
      </c>
      <c r="D477" s="61">
        <v>530</v>
      </c>
      <c r="E477" s="60">
        <v>1250</v>
      </c>
      <c r="F477" s="48" t="s">
        <v>15</v>
      </c>
      <c r="G477" s="62">
        <v>10.5</v>
      </c>
      <c r="H477" s="62">
        <v>5</v>
      </c>
      <c r="I477" s="62">
        <v>0</v>
      </c>
      <c r="J477" s="52">
        <f t="shared" ref="J477" si="1118">(IF(F477="SELL",G477-H477,IF(F477="BUY",H477-G477)))*E477</f>
        <v>-6875</v>
      </c>
      <c r="K477" s="52">
        <v>0</v>
      </c>
      <c r="L477" s="53">
        <f t="shared" ref="L477" si="1119">(K477+J477)/E477</f>
        <v>-5.5</v>
      </c>
      <c r="M477" s="53">
        <f t="shared" ref="M477" si="1120">L477*E477</f>
        <v>-6875</v>
      </c>
    </row>
    <row r="478" spans="1:13" ht="15" customHeight="1">
      <c r="A478" s="59">
        <v>43200</v>
      </c>
      <c r="B478" s="60" t="s">
        <v>17</v>
      </c>
      <c r="C478" s="61" t="s">
        <v>16</v>
      </c>
      <c r="D478" s="61">
        <v>210</v>
      </c>
      <c r="E478" s="60">
        <v>5000</v>
      </c>
      <c r="F478" s="48" t="s">
        <v>15</v>
      </c>
      <c r="G478" s="62">
        <v>7</v>
      </c>
      <c r="H478" s="62">
        <v>8</v>
      </c>
      <c r="I478" s="62">
        <v>9</v>
      </c>
      <c r="J478" s="52">
        <f t="shared" ref="J478" si="1121">(IF(F478="SELL",G478-H478,IF(F478="BUY",H478-G478)))*E478</f>
        <v>5000</v>
      </c>
      <c r="K478" s="52">
        <f>(IF(F478="SELL",IF(I478="",0,H478-I478),IF(F478="BUY",IF(I478="",0,I478-H478))))*E478</f>
        <v>5000</v>
      </c>
      <c r="L478" s="53">
        <f t="shared" ref="L478" si="1122">(K478+J478)/E478</f>
        <v>2</v>
      </c>
      <c r="M478" s="53">
        <f t="shared" ref="M478" si="1123">L478*E478</f>
        <v>10000</v>
      </c>
    </row>
    <row r="479" spans="1:13" ht="15" customHeight="1">
      <c r="A479" s="59">
        <v>43199</v>
      </c>
      <c r="B479" s="60" t="s">
        <v>40</v>
      </c>
      <c r="C479" s="61" t="s">
        <v>16</v>
      </c>
      <c r="D479" s="61">
        <v>105</v>
      </c>
      <c r="E479" s="60">
        <v>4000</v>
      </c>
      <c r="F479" s="48" t="s">
        <v>15</v>
      </c>
      <c r="G479" s="62">
        <v>4</v>
      </c>
      <c r="H479" s="62">
        <v>5</v>
      </c>
      <c r="I479" s="62">
        <v>0</v>
      </c>
      <c r="J479" s="52">
        <f t="shared" ref="J479" si="1124">(IF(F479="SELL",G479-H479,IF(F479="BUY",H479-G479)))*E479</f>
        <v>4000</v>
      </c>
      <c r="K479" s="52">
        <v>0</v>
      </c>
      <c r="L479" s="53">
        <f t="shared" ref="L479" si="1125">(K479+J479)/E479</f>
        <v>1</v>
      </c>
      <c r="M479" s="53">
        <f t="shared" ref="M479" si="1126">L479*E479</f>
        <v>4000</v>
      </c>
    </row>
    <row r="480" spans="1:13" ht="15" customHeight="1">
      <c r="A480" s="59">
        <v>43199</v>
      </c>
      <c r="B480" s="60" t="s">
        <v>41</v>
      </c>
      <c r="C480" s="61" t="s">
        <v>16</v>
      </c>
      <c r="D480" s="61">
        <v>155</v>
      </c>
      <c r="E480" s="60">
        <v>4000</v>
      </c>
      <c r="F480" s="48" t="s">
        <v>15</v>
      </c>
      <c r="G480" s="62">
        <v>4.75</v>
      </c>
      <c r="H480" s="62">
        <v>5.75</v>
      </c>
      <c r="I480" s="62">
        <v>0</v>
      </c>
      <c r="J480" s="52">
        <f t="shared" ref="J480" si="1127">(IF(F480="SELL",G480-H480,IF(F480="BUY",H480-G480)))*E480</f>
        <v>4000</v>
      </c>
      <c r="K480" s="52">
        <v>0</v>
      </c>
      <c r="L480" s="53">
        <f t="shared" ref="L480" si="1128">(K480+J480)/E480</f>
        <v>1</v>
      </c>
      <c r="M480" s="53">
        <f t="shared" ref="M480" si="1129">L480*E480</f>
        <v>4000</v>
      </c>
    </row>
    <row r="481" spans="1:13" ht="15" customHeight="1">
      <c r="A481" s="59">
        <v>43196</v>
      </c>
      <c r="B481" s="60" t="s">
        <v>39</v>
      </c>
      <c r="C481" s="61" t="s">
        <v>16</v>
      </c>
      <c r="D481" s="61">
        <v>170</v>
      </c>
      <c r="E481" s="60">
        <v>4500</v>
      </c>
      <c r="F481" s="48" t="s">
        <v>15</v>
      </c>
      <c r="G481" s="62">
        <v>6</v>
      </c>
      <c r="H481" s="62">
        <v>7</v>
      </c>
      <c r="I481" s="62">
        <v>7.8</v>
      </c>
      <c r="J481" s="52">
        <f t="shared" ref="J481" si="1130">(IF(F481="SELL",G481-H481,IF(F481="BUY",H481-G481)))*E481</f>
        <v>4500</v>
      </c>
      <c r="K481" s="52">
        <f>(IF(F481="SELL",IF(I481="",0,H481-I481),IF(F481="BUY",IF(I481="",0,I481-H481))))*E481</f>
        <v>3599.9999999999991</v>
      </c>
      <c r="L481" s="53">
        <f t="shared" ref="L481" si="1131">(K481+J481)/E481</f>
        <v>1.7999999999999998</v>
      </c>
      <c r="M481" s="53">
        <f t="shared" ref="M481" si="1132">L481*E481</f>
        <v>8099.9999999999991</v>
      </c>
    </row>
    <row r="482" spans="1:13" ht="15" customHeight="1">
      <c r="A482" s="59">
        <v>43195</v>
      </c>
      <c r="B482" s="60" t="s">
        <v>38</v>
      </c>
      <c r="C482" s="61" t="s">
        <v>16</v>
      </c>
      <c r="D482" s="61">
        <v>315</v>
      </c>
      <c r="E482" s="60">
        <v>3200</v>
      </c>
      <c r="F482" s="48" t="s">
        <v>15</v>
      </c>
      <c r="G482" s="62">
        <v>8.3000000000000007</v>
      </c>
      <c r="H482" s="62">
        <v>10</v>
      </c>
      <c r="I482" s="62">
        <v>0</v>
      </c>
      <c r="J482" s="52">
        <f t="shared" ref="J482" si="1133">(IF(F482="SELL",G482-H482,IF(F482="BUY",H482-G482)))*E482</f>
        <v>5439.9999999999982</v>
      </c>
      <c r="K482" s="52">
        <v>0</v>
      </c>
      <c r="L482" s="53">
        <f t="shared" ref="L482" si="1134">(K482+J482)/E482</f>
        <v>1.6999999999999995</v>
      </c>
      <c r="M482" s="53">
        <f t="shared" ref="M482" si="1135">L482*E482</f>
        <v>5439.9999999999982</v>
      </c>
    </row>
    <row r="483" spans="1:13" ht="15" customHeight="1">
      <c r="A483" s="59">
        <v>43194</v>
      </c>
      <c r="B483" s="60" t="s">
        <v>37</v>
      </c>
      <c r="C483" s="61" t="s">
        <v>16</v>
      </c>
      <c r="D483" s="61">
        <v>210</v>
      </c>
      <c r="E483" s="60">
        <v>5000</v>
      </c>
      <c r="F483" s="48" t="s">
        <v>15</v>
      </c>
      <c r="G483" s="62">
        <v>6.25</v>
      </c>
      <c r="H483" s="62">
        <v>7.25</v>
      </c>
      <c r="I483" s="62">
        <v>8</v>
      </c>
      <c r="J483" s="52">
        <f t="shared" ref="J483" si="1136">(IF(F483="SELL",G483-H483,IF(F483="BUY",H483-G483)))*E483</f>
        <v>5000</v>
      </c>
      <c r="K483" s="52">
        <f>(IF(F483="SELL",IF(I483="",0,H483-I483),IF(F483="BUY",IF(I483="",0,I483-H483))))*E483</f>
        <v>3750</v>
      </c>
      <c r="L483" s="53">
        <f t="shared" ref="L483" si="1137">(K483+J483)/E483</f>
        <v>1.75</v>
      </c>
      <c r="M483" s="53">
        <f t="shared" ref="M483" si="1138">L483*E483</f>
        <v>8750</v>
      </c>
    </row>
    <row r="484" spans="1:13" ht="15" customHeight="1">
      <c r="A484" s="59">
        <v>43194</v>
      </c>
      <c r="B484" s="60" t="s">
        <v>36</v>
      </c>
      <c r="C484" s="61" t="s">
        <v>16</v>
      </c>
      <c r="D484" s="61">
        <v>115</v>
      </c>
      <c r="E484" s="60">
        <v>9000</v>
      </c>
      <c r="F484" s="48" t="s">
        <v>15</v>
      </c>
      <c r="G484" s="62">
        <v>4.5</v>
      </c>
      <c r="H484" s="62">
        <v>5</v>
      </c>
      <c r="I484" s="62">
        <v>0</v>
      </c>
      <c r="J484" s="52">
        <f t="shared" ref="J484" si="1139">(IF(F484="SELL",G484-H484,IF(F484="BUY",H484-G484)))*E484</f>
        <v>4500</v>
      </c>
      <c r="K484" s="52">
        <v>0</v>
      </c>
      <c r="L484" s="53">
        <f t="shared" ref="L484" si="1140">(K484+J484)/E484</f>
        <v>0.5</v>
      </c>
      <c r="M484" s="53">
        <f t="shared" ref="M484" si="1141">L484*E484</f>
        <v>4500</v>
      </c>
    </row>
    <row r="485" spans="1:13" ht="15" customHeight="1">
      <c r="A485" s="59">
        <v>43193</v>
      </c>
      <c r="B485" s="60" t="s">
        <v>35</v>
      </c>
      <c r="C485" s="61" t="s">
        <v>16</v>
      </c>
      <c r="D485" s="61">
        <v>370</v>
      </c>
      <c r="E485" s="60">
        <v>2500</v>
      </c>
      <c r="F485" s="48" t="s">
        <v>15</v>
      </c>
      <c r="G485" s="62">
        <v>12.05</v>
      </c>
      <c r="H485" s="62">
        <v>0</v>
      </c>
      <c r="I485" s="62">
        <v>0</v>
      </c>
      <c r="J485" s="52">
        <v>0</v>
      </c>
      <c r="K485" s="52">
        <f>(IF(F485="SELL",IF(I485="",0,H485-I485),IF(F485="BUY",IF(I485="",0,I485-H485))))*E485</f>
        <v>0</v>
      </c>
      <c r="L485" s="53">
        <f t="shared" ref="L485" si="1142">(K485+J485)/E485</f>
        <v>0</v>
      </c>
      <c r="M485" s="53">
        <f t="shared" ref="M485" si="1143">L485*E485</f>
        <v>0</v>
      </c>
    </row>
    <row r="486" spans="1:13" ht="15" customHeight="1">
      <c r="A486" s="59">
        <v>43187</v>
      </c>
      <c r="B486" s="60" t="s">
        <v>34</v>
      </c>
      <c r="C486" s="61" t="s">
        <v>16</v>
      </c>
      <c r="D486" s="61">
        <v>295</v>
      </c>
      <c r="E486" s="60">
        <v>3000</v>
      </c>
      <c r="F486" s="48" t="s">
        <v>15</v>
      </c>
      <c r="G486" s="62">
        <v>1.95</v>
      </c>
      <c r="H486" s="62">
        <v>3.5</v>
      </c>
      <c r="I486" s="62">
        <v>5</v>
      </c>
      <c r="J486" s="52">
        <f t="shared" ref="J486" si="1144">(IF(F486="SELL",G486-H486,IF(F486="BUY",H486-G486)))*E486</f>
        <v>4650</v>
      </c>
      <c r="K486" s="52">
        <f>(IF(F486="SELL",IF(I486="",0,H486-I486),IF(F486="BUY",IF(I486="",0,I486-H486))))*E486</f>
        <v>4500</v>
      </c>
      <c r="L486" s="53">
        <f t="shared" ref="L486" si="1145">(K486+J486)/E486</f>
        <v>3.05</v>
      </c>
      <c r="M486" s="53">
        <f t="shared" ref="M486" si="1146">L486*E486</f>
        <v>9150</v>
      </c>
    </row>
    <row r="487" spans="1:13" ht="15" customHeight="1">
      <c r="A487" s="59">
        <v>43187</v>
      </c>
      <c r="B487" s="60" t="s">
        <v>21</v>
      </c>
      <c r="C487" s="61" t="s">
        <v>14</v>
      </c>
      <c r="D487" s="61">
        <v>290</v>
      </c>
      <c r="E487" s="60">
        <v>1750</v>
      </c>
      <c r="F487" s="48" t="s">
        <v>15</v>
      </c>
      <c r="G487" s="62">
        <v>8.25</v>
      </c>
      <c r="H487" s="62">
        <v>10</v>
      </c>
      <c r="I487" s="62">
        <v>13</v>
      </c>
      <c r="J487" s="52">
        <f t="shared" ref="J487" si="1147">(IF(F487="SELL",G487-H487,IF(F487="BUY",H487-G487)))*E487</f>
        <v>3062.5</v>
      </c>
      <c r="K487" s="52">
        <f>(IF(F487="SELL",IF(I487="",0,H487-I487),IF(F487="BUY",IF(I487="",0,I487-H487))))*E487</f>
        <v>5250</v>
      </c>
      <c r="L487" s="53">
        <f t="shared" ref="L487" si="1148">(K487+J487)/E487</f>
        <v>4.75</v>
      </c>
      <c r="M487" s="53">
        <f t="shared" ref="M487" si="1149">L487*E487</f>
        <v>8312.5</v>
      </c>
    </row>
    <row r="488" spans="1:13" ht="15" customHeight="1">
      <c r="A488" s="59">
        <v>43186</v>
      </c>
      <c r="B488" s="60" t="s">
        <v>32</v>
      </c>
      <c r="C488" s="61" t="s">
        <v>14</v>
      </c>
      <c r="D488" s="61">
        <v>420</v>
      </c>
      <c r="E488" s="60">
        <v>1300</v>
      </c>
      <c r="F488" s="48" t="s">
        <v>15</v>
      </c>
      <c r="G488" s="62">
        <v>14.5</v>
      </c>
      <c r="H488" s="62">
        <v>18</v>
      </c>
      <c r="I488" s="62">
        <v>0</v>
      </c>
      <c r="J488" s="52">
        <f t="shared" ref="J488" si="1150">(IF(F488="SELL",G488-H488,IF(F488="BUY",H488-G488)))*E488</f>
        <v>4550</v>
      </c>
      <c r="K488" s="52">
        <v>0</v>
      </c>
      <c r="L488" s="53">
        <f t="shared" ref="L488" si="1151">(K488+J488)/E488</f>
        <v>3.5</v>
      </c>
      <c r="M488" s="53">
        <f t="shared" ref="M488" si="1152">L488*E488</f>
        <v>4550</v>
      </c>
    </row>
    <row r="489" spans="1:13" ht="15" customHeight="1">
      <c r="A489" s="59">
        <v>43186</v>
      </c>
      <c r="B489" s="60" t="s">
        <v>33</v>
      </c>
      <c r="C489" s="61" t="s">
        <v>16</v>
      </c>
      <c r="D489" s="61">
        <v>300</v>
      </c>
      <c r="E489" s="60">
        <v>2000</v>
      </c>
      <c r="F489" s="48" t="s">
        <v>15</v>
      </c>
      <c r="G489" s="62">
        <v>5.15</v>
      </c>
      <c r="H489" s="62">
        <v>7.15</v>
      </c>
      <c r="I489" s="62">
        <v>0</v>
      </c>
      <c r="J489" s="52">
        <f t="shared" ref="J489" si="1153">(IF(F489="SELL",G489-H489,IF(F489="BUY",H489-G489)))*E489</f>
        <v>4000</v>
      </c>
      <c r="K489" s="52">
        <v>0</v>
      </c>
      <c r="L489" s="53">
        <f t="shared" ref="L489" si="1154">(K489+J489)/E489</f>
        <v>2</v>
      </c>
      <c r="M489" s="53">
        <f t="shared" ref="M489" si="1155">L489*E489</f>
        <v>4000</v>
      </c>
    </row>
    <row r="490" spans="1:13" ht="15" customHeight="1">
      <c r="A490" s="59">
        <v>43185</v>
      </c>
      <c r="B490" s="60" t="s">
        <v>32</v>
      </c>
      <c r="C490" s="61" t="s">
        <v>16</v>
      </c>
      <c r="D490" s="61">
        <v>420</v>
      </c>
      <c r="E490" s="60">
        <v>1300</v>
      </c>
      <c r="F490" s="48" t="s">
        <v>15</v>
      </c>
      <c r="G490" s="62">
        <v>8</v>
      </c>
      <c r="H490" s="62">
        <v>12</v>
      </c>
      <c r="I490" s="62">
        <v>0</v>
      </c>
      <c r="J490" s="52">
        <f t="shared" ref="J490" si="1156">(IF(F490="SELL",G490-H490,IF(F490="BUY",H490-G490)))*E490</f>
        <v>5200</v>
      </c>
      <c r="K490" s="52">
        <v>0</v>
      </c>
      <c r="L490" s="53">
        <f t="shared" ref="L490" si="1157">(K490+J490)/E490</f>
        <v>4</v>
      </c>
      <c r="M490" s="53">
        <f t="shared" ref="M490" si="1158">L490*E490</f>
        <v>5200</v>
      </c>
    </row>
    <row r="491" spans="1:13" ht="15" customHeight="1">
      <c r="A491" s="59">
        <v>43185</v>
      </c>
      <c r="B491" s="60" t="s">
        <v>31</v>
      </c>
      <c r="C491" s="61" t="s">
        <v>16</v>
      </c>
      <c r="D491" s="61">
        <v>1400</v>
      </c>
      <c r="E491" s="60">
        <v>600</v>
      </c>
      <c r="F491" s="48" t="s">
        <v>15</v>
      </c>
      <c r="G491" s="62">
        <v>24</v>
      </c>
      <c r="H491" s="62">
        <v>30</v>
      </c>
      <c r="I491" s="62">
        <v>0</v>
      </c>
      <c r="J491" s="52">
        <f t="shared" ref="J491" si="1159">(IF(F491="SELL",G491-H491,IF(F491="BUY",H491-G491)))*E491</f>
        <v>3600</v>
      </c>
      <c r="K491" s="52">
        <v>0</v>
      </c>
      <c r="L491" s="53">
        <f t="shared" ref="L491" si="1160">(K491+J491)/E491</f>
        <v>6</v>
      </c>
      <c r="M491" s="53">
        <f t="shared" ref="M491" si="1161">L491*E491</f>
        <v>3600</v>
      </c>
    </row>
    <row r="492" spans="1:13" ht="15" customHeight="1">
      <c r="A492" s="59">
        <v>43182</v>
      </c>
      <c r="B492" s="60" t="s">
        <v>19</v>
      </c>
      <c r="C492" s="61" t="s">
        <v>16</v>
      </c>
      <c r="D492" s="61">
        <v>1260</v>
      </c>
      <c r="E492" s="60">
        <v>750</v>
      </c>
      <c r="F492" s="48" t="s">
        <v>15</v>
      </c>
      <c r="G492" s="62">
        <v>14</v>
      </c>
      <c r="H492" s="62">
        <v>0</v>
      </c>
      <c r="I492" s="62">
        <v>0</v>
      </c>
      <c r="J492" s="52">
        <v>0</v>
      </c>
      <c r="K492" s="52">
        <f>(IF(F492="SELL",IF(I492="",0,H492-I492),IF(F492="BUY",IF(I492="",0,I492-H492))))*E492</f>
        <v>0</v>
      </c>
      <c r="L492" s="53">
        <f t="shared" ref="L492" si="1162">(K492+J492)/E492</f>
        <v>0</v>
      </c>
      <c r="M492" s="53">
        <f t="shared" ref="M492" si="1163">L492*E492</f>
        <v>0</v>
      </c>
    </row>
    <row r="493" spans="1:13" ht="15" customHeight="1">
      <c r="A493" s="59">
        <v>43181</v>
      </c>
      <c r="B493" s="60" t="s">
        <v>31</v>
      </c>
      <c r="C493" s="61" t="s">
        <v>14</v>
      </c>
      <c r="D493" s="61">
        <v>1400</v>
      </c>
      <c r="E493" s="60">
        <v>600</v>
      </c>
      <c r="F493" s="48" t="s">
        <v>15</v>
      </c>
      <c r="G493" s="62">
        <v>22</v>
      </c>
      <c r="H493" s="62">
        <v>30</v>
      </c>
      <c r="I493" s="62">
        <v>0</v>
      </c>
      <c r="J493" s="52">
        <f t="shared" ref="J493" si="1164">(IF(F493="SELL",G493-H493,IF(F493="BUY",H493-G493)))*E493</f>
        <v>4800</v>
      </c>
      <c r="K493" s="52">
        <v>0</v>
      </c>
      <c r="L493" s="53">
        <f t="shared" ref="L493" si="1165">(K493+J493)/E493</f>
        <v>8</v>
      </c>
      <c r="M493" s="53">
        <f t="shared" ref="M493" si="1166">L493*E493</f>
        <v>4800</v>
      </c>
    </row>
    <row r="494" spans="1:13" ht="15" customHeight="1">
      <c r="A494" s="59">
        <v>43181</v>
      </c>
      <c r="B494" s="60" t="s">
        <v>30</v>
      </c>
      <c r="C494" s="61" t="s">
        <v>16</v>
      </c>
      <c r="D494" s="61">
        <v>380</v>
      </c>
      <c r="E494" s="60">
        <v>3000</v>
      </c>
      <c r="F494" s="48" t="s">
        <v>15</v>
      </c>
      <c r="G494" s="62">
        <v>4.6500000000000004</v>
      </c>
      <c r="H494" s="62">
        <v>6</v>
      </c>
      <c r="I494" s="62">
        <v>0</v>
      </c>
      <c r="J494" s="52">
        <f t="shared" ref="J494" si="1167">(IF(F494="SELL",G494-H494,IF(F494="BUY",H494-G494)))*E494</f>
        <v>4049.9999999999991</v>
      </c>
      <c r="K494" s="52">
        <v>0</v>
      </c>
      <c r="L494" s="53">
        <f t="shared" ref="L494" si="1168">(K494+J494)/E494</f>
        <v>1.3499999999999996</v>
      </c>
      <c r="M494" s="53">
        <f t="shared" ref="M494" si="1169">L494*E494</f>
        <v>4049.9999999999991</v>
      </c>
    </row>
    <row r="495" spans="1:13" ht="15" customHeight="1">
      <c r="A495" s="59">
        <v>43180</v>
      </c>
      <c r="B495" s="60" t="s">
        <v>20</v>
      </c>
      <c r="C495" s="61" t="s">
        <v>16</v>
      </c>
      <c r="D495" s="61">
        <v>2200</v>
      </c>
      <c r="E495" s="60">
        <v>500</v>
      </c>
      <c r="F495" s="48" t="s">
        <v>15</v>
      </c>
      <c r="G495" s="62">
        <v>35</v>
      </c>
      <c r="H495" s="62">
        <v>43</v>
      </c>
      <c r="I495" s="62">
        <v>0</v>
      </c>
      <c r="J495" s="52">
        <f t="shared" ref="J495" si="1170">(IF(F495="SELL",G495-H495,IF(F495="BUY",H495-G495)))*E495</f>
        <v>4000</v>
      </c>
      <c r="K495" s="52">
        <v>0</v>
      </c>
      <c r="L495" s="53">
        <f t="shared" ref="L495" si="1171">(K495+J495)/E495</f>
        <v>8</v>
      </c>
      <c r="M495" s="53">
        <f t="shared" ref="M495" si="1172">L495*E495</f>
        <v>4000</v>
      </c>
    </row>
    <row r="496" spans="1:13" ht="15" customHeight="1">
      <c r="A496" s="59">
        <v>43178</v>
      </c>
      <c r="B496" s="60" t="s">
        <v>29</v>
      </c>
      <c r="C496" s="61" t="s">
        <v>16</v>
      </c>
      <c r="D496" s="61">
        <v>4500</v>
      </c>
      <c r="E496" s="60">
        <v>3500</v>
      </c>
      <c r="F496" s="48" t="s">
        <v>15</v>
      </c>
      <c r="G496" s="62">
        <v>6.25</v>
      </c>
      <c r="H496" s="62">
        <v>7.25</v>
      </c>
      <c r="I496" s="62">
        <v>0</v>
      </c>
      <c r="J496" s="52">
        <f t="shared" ref="J496" si="1173">(IF(F496="SELL",G496-H496,IF(F496="BUY",H496-G496)))*E496</f>
        <v>3500</v>
      </c>
      <c r="K496" s="52">
        <v>0</v>
      </c>
      <c r="L496" s="53">
        <f t="shared" ref="L496" si="1174">(K496+J496)/E496</f>
        <v>1</v>
      </c>
      <c r="M496" s="53">
        <f t="shared" ref="M496" si="1175">L496*E496</f>
        <v>3500</v>
      </c>
    </row>
    <row r="497" spans="1:13" ht="15" customHeight="1">
      <c r="A497" s="59">
        <v>43175</v>
      </c>
      <c r="B497" s="60" t="s">
        <v>28</v>
      </c>
      <c r="C497" s="61" t="s">
        <v>14</v>
      </c>
      <c r="D497" s="61">
        <v>750</v>
      </c>
      <c r="E497" s="60">
        <v>1000</v>
      </c>
      <c r="F497" s="48" t="s">
        <v>15</v>
      </c>
      <c r="G497" s="62">
        <v>11</v>
      </c>
      <c r="H497" s="62">
        <v>0</v>
      </c>
      <c r="I497" s="62">
        <v>0</v>
      </c>
      <c r="J497" s="52">
        <v>0</v>
      </c>
      <c r="K497" s="52">
        <v>0</v>
      </c>
      <c r="L497" s="53">
        <f t="shared" ref="L497" si="1176">(K497+J497)/E497</f>
        <v>0</v>
      </c>
      <c r="M497" s="53">
        <f t="shared" ref="M497" si="1177">L497*E497</f>
        <v>0</v>
      </c>
    </row>
    <row r="498" spans="1:13" ht="15" customHeight="1">
      <c r="A498" s="59">
        <v>43174</v>
      </c>
      <c r="B498" s="60" t="s">
        <v>17</v>
      </c>
      <c r="C498" s="61" t="s">
        <v>16</v>
      </c>
      <c r="D498" s="61">
        <v>220</v>
      </c>
      <c r="E498" s="60">
        <v>5000</v>
      </c>
      <c r="F498" s="48" t="s">
        <v>15</v>
      </c>
      <c r="G498" s="62">
        <v>8</v>
      </c>
      <c r="H498" s="62">
        <v>9</v>
      </c>
      <c r="I498" s="62">
        <v>10.199999999999999</v>
      </c>
      <c r="J498" s="52">
        <f t="shared" ref="J498" si="1178">(IF(F498="SELL",G498-H498,IF(F498="BUY",H498-G498)))*E498</f>
        <v>5000</v>
      </c>
      <c r="K498" s="52">
        <f>(IF(F498="SELL",IF(I498="",0,H498-I498),IF(F498="BUY",IF(I498="",0,I498-H498))))*E498</f>
        <v>5999.9999999999964</v>
      </c>
      <c r="L498" s="53">
        <f t="shared" ref="L498" si="1179">(K498+J498)/E498</f>
        <v>2.1999999999999993</v>
      </c>
      <c r="M498" s="53">
        <f t="shared" ref="M498" si="1180">L498*E498</f>
        <v>10999.999999999996</v>
      </c>
    </row>
    <row r="499" spans="1:13" ht="15" customHeight="1">
      <c r="A499" s="59">
        <v>43174</v>
      </c>
      <c r="B499" s="60" t="s">
        <v>27</v>
      </c>
      <c r="C499" s="61" t="s">
        <v>16</v>
      </c>
      <c r="D499" s="61">
        <v>350</v>
      </c>
      <c r="E499" s="60">
        <v>1600</v>
      </c>
      <c r="F499" s="48" t="s">
        <v>15</v>
      </c>
      <c r="G499" s="62">
        <v>11.25</v>
      </c>
      <c r="H499" s="62">
        <v>13.75</v>
      </c>
      <c r="I499" s="62">
        <v>0</v>
      </c>
      <c r="J499" s="52">
        <f t="shared" ref="J499" si="1181">(IF(F499="SELL",G499-H499,IF(F499="BUY",H499-G499)))*E499</f>
        <v>4000</v>
      </c>
      <c r="K499" s="52">
        <v>0</v>
      </c>
      <c r="L499" s="53">
        <f t="shared" ref="L499" si="1182">(K499+J499)/E499</f>
        <v>2.5</v>
      </c>
      <c r="M499" s="53">
        <f t="shared" ref="M499" si="1183">L499*E499</f>
        <v>4000</v>
      </c>
    </row>
    <row r="500" spans="1:13" ht="15" customHeight="1">
      <c r="A500" s="59">
        <v>43173</v>
      </c>
      <c r="B500" s="60" t="s">
        <v>23</v>
      </c>
      <c r="C500" s="61" t="s">
        <v>16</v>
      </c>
      <c r="D500" s="61">
        <v>360</v>
      </c>
      <c r="E500" s="60">
        <v>1500</v>
      </c>
      <c r="F500" s="48" t="s">
        <v>15</v>
      </c>
      <c r="G500" s="62">
        <v>16</v>
      </c>
      <c r="H500" s="62">
        <v>20</v>
      </c>
      <c r="I500" s="62">
        <v>25</v>
      </c>
      <c r="J500" s="52">
        <f t="shared" ref="J500:J501" si="1184">(IF(F500="SELL",G500-H500,IF(F500="BUY",H500-G500)))*E500</f>
        <v>6000</v>
      </c>
      <c r="K500" s="52">
        <f>(IF(F500="SELL",IF(I500="",0,H500-I500),IF(F500="BUY",IF(I500="",0,I500-H500))))*E500</f>
        <v>7500</v>
      </c>
      <c r="L500" s="53">
        <f t="shared" ref="L500:L501" si="1185">(K500+J500)/E500</f>
        <v>9</v>
      </c>
      <c r="M500" s="53">
        <f t="shared" ref="M500:M501" si="1186">L500*E500</f>
        <v>13500</v>
      </c>
    </row>
    <row r="501" spans="1:13" ht="15" customHeight="1">
      <c r="A501" s="59">
        <v>43172</v>
      </c>
      <c r="B501" s="60" t="s">
        <v>23</v>
      </c>
      <c r="C501" s="61" t="s">
        <v>16</v>
      </c>
      <c r="D501" s="61">
        <v>360</v>
      </c>
      <c r="E501" s="60">
        <v>1500</v>
      </c>
      <c r="F501" s="48" t="s">
        <v>15</v>
      </c>
      <c r="G501" s="62">
        <v>12</v>
      </c>
      <c r="H501" s="62">
        <v>17</v>
      </c>
      <c r="I501" s="62">
        <v>0</v>
      </c>
      <c r="J501" s="52">
        <f t="shared" si="1184"/>
        <v>7500</v>
      </c>
      <c r="K501" s="52">
        <v>0</v>
      </c>
      <c r="L501" s="53">
        <f t="shared" si="1185"/>
        <v>5</v>
      </c>
      <c r="M501" s="53">
        <f t="shared" si="1186"/>
        <v>7500</v>
      </c>
    </row>
    <row r="502" spans="1:13" ht="15" customHeight="1">
      <c r="A502" s="59">
        <v>43171</v>
      </c>
      <c r="B502" s="60" t="s">
        <v>26</v>
      </c>
      <c r="C502" s="61" t="s">
        <v>16</v>
      </c>
      <c r="D502" s="61">
        <v>640</v>
      </c>
      <c r="E502" s="60">
        <v>1200</v>
      </c>
      <c r="F502" s="48" t="s">
        <v>15</v>
      </c>
      <c r="G502" s="62">
        <v>12</v>
      </c>
      <c r="H502" s="62">
        <v>0</v>
      </c>
      <c r="I502" s="62">
        <v>0</v>
      </c>
      <c r="J502" s="52">
        <v>0</v>
      </c>
      <c r="K502" s="52">
        <v>0</v>
      </c>
      <c r="L502" s="53">
        <f t="shared" ref="L502" si="1187">(K502+J502)/E502</f>
        <v>0</v>
      </c>
      <c r="M502" s="53">
        <f t="shared" ref="M502" si="1188">L502*E502</f>
        <v>0</v>
      </c>
    </row>
    <row r="503" spans="1:13" ht="15" customHeight="1">
      <c r="A503" s="59">
        <v>43168</v>
      </c>
      <c r="B503" s="60" t="s">
        <v>25</v>
      </c>
      <c r="C503" s="61" t="s">
        <v>16</v>
      </c>
      <c r="D503" s="61">
        <v>1800</v>
      </c>
      <c r="E503" s="60">
        <v>500</v>
      </c>
      <c r="F503" s="48" t="s">
        <v>15</v>
      </c>
      <c r="G503" s="62">
        <v>20</v>
      </c>
      <c r="H503" s="62">
        <v>24</v>
      </c>
      <c r="I503" s="62">
        <v>0</v>
      </c>
      <c r="J503" s="52">
        <f t="shared" ref="J503" si="1189">(IF(F503="SELL",G503-H503,IF(F503="BUY",H503-G503)))*E503</f>
        <v>2000</v>
      </c>
      <c r="K503" s="52">
        <v>0</v>
      </c>
      <c r="L503" s="53">
        <f t="shared" ref="L503" si="1190">(K503+J503)/E503</f>
        <v>4</v>
      </c>
      <c r="M503" s="53">
        <f t="shared" ref="M503" si="1191">L503*E503</f>
        <v>2000</v>
      </c>
    </row>
    <row r="504" spans="1:13" ht="15" customHeight="1">
      <c r="A504" s="59">
        <v>43164</v>
      </c>
      <c r="B504" s="60" t="s">
        <v>24</v>
      </c>
      <c r="C504" s="61" t="s">
        <v>16</v>
      </c>
      <c r="D504" s="61">
        <v>900</v>
      </c>
      <c r="E504" s="60">
        <v>1500</v>
      </c>
      <c r="F504" s="48" t="s">
        <v>15</v>
      </c>
      <c r="G504" s="62">
        <v>24</v>
      </c>
      <c r="H504" s="62">
        <v>26</v>
      </c>
      <c r="I504" s="62">
        <v>0</v>
      </c>
      <c r="J504" s="52">
        <f t="shared" ref="J504" si="1192">(IF(F504="SELL",G504-H504,IF(F504="BUY",H504-G504)))*E504</f>
        <v>3000</v>
      </c>
      <c r="K504" s="52">
        <v>0</v>
      </c>
      <c r="L504" s="53">
        <f t="shared" ref="L504" si="1193">(K504+J504)/E504</f>
        <v>2</v>
      </c>
      <c r="M504" s="53">
        <f t="shared" ref="M504" si="1194">L504*E504</f>
        <v>3000</v>
      </c>
    </row>
    <row r="505" spans="1:13">
      <c r="C505" s="5" t="s">
        <v>16</v>
      </c>
    </row>
  </sheetData>
  <mergeCells count="17">
    <mergeCell ref="I6:I8"/>
    <mergeCell ref="J6:J8"/>
    <mergeCell ref="K6:K8"/>
    <mergeCell ref="L6:L8"/>
    <mergeCell ref="A1:C5"/>
    <mergeCell ref="D1:M3"/>
    <mergeCell ref="D4:M4"/>
    <mergeCell ref="D5:M5"/>
    <mergeCell ref="A6:A8"/>
    <mergeCell ref="B6:B8"/>
    <mergeCell ref="C6:C8"/>
    <mergeCell ref="D6:D8"/>
    <mergeCell ref="E6:E8"/>
    <mergeCell ref="F6:F8"/>
    <mergeCell ref="M6:M8"/>
    <mergeCell ref="G6:G8"/>
    <mergeCell ref="H6:H8"/>
  </mergeCells>
  <pageMargins left="0.7" right="0.7" top="0.75" bottom="0.75" header="0.3" footer="0.3"/>
  <pageSetup orientation="portrait" r:id="rId1"/>
  <rowBreaks count="1" manualBreakCount="1">
    <brk id="254" max="16383" man="1"/>
  </rowBreaks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8"/>
  <sheetViews>
    <sheetView zoomScale="85" zoomScaleNormal="85" workbookViewId="0">
      <selection activeCell="I21" sqref="I21"/>
    </sheetView>
  </sheetViews>
  <sheetFormatPr defaultRowHeight="15"/>
  <cols>
    <col min="1" max="1" width="11.7109375" style="25" customWidth="1"/>
    <col min="2" max="2" width="17.5703125" style="25" customWidth="1"/>
    <col min="3" max="3" width="9.5703125" style="25" customWidth="1"/>
    <col min="4" max="4" width="12.85546875" style="25" customWidth="1"/>
    <col min="5" max="5" width="8.7109375" style="42" customWidth="1"/>
    <col min="6" max="6" width="10.140625" style="25" customWidth="1"/>
    <col min="7" max="7" width="10.28515625" style="25" customWidth="1"/>
    <col min="8" max="8" width="13.140625" style="25" customWidth="1"/>
    <col min="9" max="9" width="13.42578125" style="25" customWidth="1"/>
    <col min="10" max="10" width="12.140625" style="25" customWidth="1"/>
    <col min="11" max="11" width="12.42578125" style="25" customWidth="1"/>
    <col min="12" max="12" width="13.42578125" style="25" customWidth="1"/>
    <col min="13" max="13" width="19.85546875" style="25" customWidth="1"/>
    <col min="14" max="16384" width="9.140625" style="25"/>
  </cols>
  <sheetData>
    <row r="1" spans="1:33">
      <c r="A1" s="94"/>
      <c r="B1" s="95"/>
      <c r="C1" s="95"/>
      <c r="D1" s="98" t="s">
        <v>171</v>
      </c>
      <c r="E1" s="99"/>
      <c r="F1" s="99"/>
      <c r="G1" s="99"/>
      <c r="H1" s="99"/>
      <c r="I1" s="99"/>
      <c r="J1" s="99"/>
      <c r="K1" s="99"/>
      <c r="L1" s="99"/>
      <c r="M1" s="102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>
      <c r="A2" s="96"/>
      <c r="B2" s="97"/>
      <c r="C2" s="97"/>
      <c r="D2" s="98"/>
      <c r="E2" s="99"/>
      <c r="F2" s="99"/>
      <c r="G2" s="99"/>
      <c r="H2" s="99"/>
      <c r="I2" s="99"/>
      <c r="J2" s="99"/>
      <c r="K2" s="99"/>
      <c r="L2" s="99"/>
      <c r="M2" s="10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>
      <c r="A3" s="96"/>
      <c r="B3" s="97"/>
      <c r="C3" s="97"/>
      <c r="D3" s="100"/>
      <c r="E3" s="101"/>
      <c r="F3" s="101"/>
      <c r="G3" s="101"/>
      <c r="H3" s="101"/>
      <c r="I3" s="101"/>
      <c r="J3" s="101"/>
      <c r="K3" s="101"/>
      <c r="L3" s="101"/>
      <c r="M3" s="10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>
      <c r="A4" s="96"/>
      <c r="B4" s="97"/>
      <c r="C4" s="97"/>
      <c r="D4" s="105" t="s">
        <v>172</v>
      </c>
      <c r="E4" s="106"/>
      <c r="F4" s="106"/>
      <c r="G4" s="106"/>
      <c r="H4" s="106"/>
      <c r="I4" s="106"/>
      <c r="J4" s="106"/>
      <c r="K4" s="106"/>
      <c r="L4" s="106"/>
      <c r="M4" s="26"/>
      <c r="N4" s="27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>
      <c r="A5" s="96"/>
      <c r="B5" s="97"/>
      <c r="C5" s="97"/>
      <c r="D5" s="107"/>
      <c r="E5" s="108"/>
      <c r="F5" s="108"/>
      <c r="G5" s="108"/>
      <c r="H5" s="108"/>
      <c r="I5" s="108"/>
      <c r="J5" s="108"/>
      <c r="K5" s="108"/>
      <c r="L5" s="108"/>
      <c r="M5" s="28"/>
      <c r="N5" s="27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>
      <c r="A6" s="109" t="s">
        <v>2</v>
      </c>
      <c r="B6" s="93" t="s">
        <v>3</v>
      </c>
      <c r="C6" s="93" t="s">
        <v>4</v>
      </c>
      <c r="D6" s="112" t="s">
        <v>5</v>
      </c>
      <c r="E6" s="114" t="s">
        <v>6</v>
      </c>
      <c r="F6" s="66" t="s">
        <v>7</v>
      </c>
      <c r="G6" s="66" t="s">
        <v>8</v>
      </c>
      <c r="H6" s="66" t="s">
        <v>9</v>
      </c>
      <c r="I6" s="66" t="s">
        <v>10</v>
      </c>
      <c r="J6" s="66" t="s">
        <v>11</v>
      </c>
      <c r="K6" s="66" t="s">
        <v>12</v>
      </c>
      <c r="L6" s="66" t="s">
        <v>13</v>
      </c>
      <c r="M6" s="66" t="s">
        <v>173</v>
      </c>
      <c r="N6" s="23"/>
      <c r="O6" s="23"/>
      <c r="P6" s="23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>
      <c r="A7" s="110"/>
      <c r="B7" s="66"/>
      <c r="C7" s="66"/>
      <c r="D7" s="112"/>
      <c r="E7" s="114"/>
      <c r="F7" s="66"/>
      <c r="G7" s="66"/>
      <c r="H7" s="66"/>
      <c r="I7" s="66"/>
      <c r="J7" s="66"/>
      <c r="K7" s="66"/>
      <c r="L7" s="66"/>
      <c r="M7" s="66"/>
      <c r="N7" s="23"/>
      <c r="O7" s="23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ht="15" customHeight="1">
      <c r="A8" s="111"/>
      <c r="B8" s="67"/>
      <c r="C8" s="67"/>
      <c r="D8" s="113"/>
      <c r="E8" s="115"/>
      <c r="F8" s="67"/>
      <c r="G8" s="67"/>
      <c r="H8" s="67"/>
      <c r="I8" s="67"/>
      <c r="J8" s="67"/>
      <c r="K8" s="67"/>
      <c r="L8" s="67"/>
      <c r="M8" s="67"/>
      <c r="N8" s="23"/>
      <c r="O8" s="23"/>
      <c r="P8" s="23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14" customFormat="1" ht="15" customHeight="1">
      <c r="A9" s="29"/>
      <c r="B9" s="30"/>
      <c r="C9" s="31"/>
      <c r="D9" s="32"/>
      <c r="E9" s="33"/>
      <c r="F9" s="30"/>
      <c r="G9" s="30"/>
      <c r="H9" s="30"/>
      <c r="I9" s="34"/>
      <c r="J9" s="31"/>
      <c r="K9" s="31"/>
      <c r="L9" s="35"/>
      <c r="M9" s="30"/>
      <c r="N9" s="23"/>
      <c r="O9" s="23"/>
      <c r="P9" s="2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s="14" customFormat="1" ht="15" customHeight="1">
      <c r="A10" s="63">
        <v>44130</v>
      </c>
      <c r="B10" s="55" t="s">
        <v>95</v>
      </c>
      <c r="C10" s="56" t="s">
        <v>16</v>
      </c>
      <c r="D10" s="56">
        <v>100</v>
      </c>
      <c r="E10" s="57">
        <v>6000</v>
      </c>
      <c r="F10" s="55" t="s">
        <v>15</v>
      </c>
      <c r="G10" s="58">
        <v>1.1000000000000001</v>
      </c>
      <c r="H10" s="58">
        <v>2.2999999999999998</v>
      </c>
      <c r="I10" s="22">
        <v>0</v>
      </c>
      <c r="J10" s="3">
        <f t="shared" ref="J10" si="0">(IF(F10="SELL",G10-H10,IF(F10="BUY",H10-G10)))*E10</f>
        <v>7199.9999999999982</v>
      </c>
      <c r="K10" s="3">
        <v>0</v>
      </c>
      <c r="L10" s="4">
        <f t="shared" ref="L10" si="1">(K10+J10)/E10</f>
        <v>1.1999999999999997</v>
      </c>
      <c r="M10" s="4">
        <f t="shared" ref="M10" si="2">L10*E10</f>
        <v>7199.9999999999982</v>
      </c>
      <c r="N10" s="23"/>
      <c r="O10" s="23"/>
      <c r="P10" s="2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s="14" customFormat="1" ht="15" customHeight="1">
      <c r="A11" s="8">
        <v>43944</v>
      </c>
      <c r="B11" s="19" t="s">
        <v>121</v>
      </c>
      <c r="C11" s="20" t="s">
        <v>16</v>
      </c>
      <c r="D11" s="20">
        <v>2200</v>
      </c>
      <c r="E11" s="21">
        <v>250</v>
      </c>
      <c r="F11" s="19" t="s">
        <v>15</v>
      </c>
      <c r="G11" s="19">
        <v>109</v>
      </c>
      <c r="H11" s="19">
        <v>130</v>
      </c>
      <c r="I11" s="22">
        <v>0</v>
      </c>
      <c r="J11" s="3">
        <f t="shared" ref="J11" si="3">(IF(F11="SELL",G11-H11,IF(F11="BUY",H11-G11)))*E11</f>
        <v>5250</v>
      </c>
      <c r="K11" s="3">
        <v>0</v>
      </c>
      <c r="L11" s="4">
        <f t="shared" ref="L11" si="4">(K11+J11)/E11</f>
        <v>21</v>
      </c>
      <c r="M11" s="4">
        <f t="shared" ref="M11" si="5">L11*E11</f>
        <v>5250</v>
      </c>
      <c r="N11" s="23"/>
      <c r="O11" s="23"/>
      <c r="P11" s="2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s="14" customFormat="1" ht="15" customHeight="1">
      <c r="A12" s="8">
        <v>43943</v>
      </c>
      <c r="B12" s="19" t="s">
        <v>183</v>
      </c>
      <c r="C12" s="20" t="s">
        <v>16</v>
      </c>
      <c r="D12" s="20">
        <v>700</v>
      </c>
      <c r="E12" s="21">
        <v>1500</v>
      </c>
      <c r="F12" s="19" t="s">
        <v>15</v>
      </c>
      <c r="G12" s="19">
        <v>50</v>
      </c>
      <c r="H12" s="19">
        <v>57</v>
      </c>
      <c r="I12" s="22">
        <v>67</v>
      </c>
      <c r="J12" s="3">
        <f t="shared" ref="J12" si="6">(IF(F12="SELL",G12-H12,IF(F12="BUY",H12-G12)))*E12</f>
        <v>10500</v>
      </c>
      <c r="K12" s="3">
        <v>15000</v>
      </c>
      <c r="L12" s="4">
        <f t="shared" ref="L12" si="7">(K12+J12)/E12</f>
        <v>17</v>
      </c>
      <c r="M12" s="4">
        <f t="shared" ref="M12" si="8">L12*E12</f>
        <v>25500</v>
      </c>
      <c r="N12" s="23"/>
      <c r="O12" s="23"/>
      <c r="P12" s="2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s="14" customFormat="1" ht="15" customHeight="1">
      <c r="A13" s="8">
        <v>43942</v>
      </c>
      <c r="B13" s="19" t="s">
        <v>182</v>
      </c>
      <c r="C13" s="20" t="s">
        <v>16</v>
      </c>
      <c r="D13" s="20">
        <v>2500</v>
      </c>
      <c r="E13" s="21">
        <v>400</v>
      </c>
      <c r="F13" s="19" t="s">
        <v>15</v>
      </c>
      <c r="G13" s="19">
        <v>70</v>
      </c>
      <c r="H13" s="19">
        <v>93.5</v>
      </c>
      <c r="I13" s="22">
        <v>0</v>
      </c>
      <c r="J13" s="3">
        <f t="shared" ref="J13" si="9">(IF(F13="SELL",G13-H13,IF(F13="BUY",H13-G13)))*E13</f>
        <v>9400</v>
      </c>
      <c r="K13" s="3">
        <v>0</v>
      </c>
      <c r="L13" s="4">
        <f t="shared" ref="L13" si="10">(K13+J13)/E13</f>
        <v>23.5</v>
      </c>
      <c r="M13" s="4">
        <f t="shared" ref="M13" si="11">L13*E13</f>
        <v>9400</v>
      </c>
      <c r="N13" s="23"/>
      <c r="O13" s="23"/>
      <c r="P13" s="2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s="14" customFormat="1" ht="15" customHeight="1">
      <c r="A14" s="8">
        <v>43941</v>
      </c>
      <c r="B14" s="19" t="s">
        <v>181</v>
      </c>
      <c r="C14" s="20" t="s">
        <v>16</v>
      </c>
      <c r="D14" s="20">
        <v>12200</v>
      </c>
      <c r="E14" s="21">
        <v>500</v>
      </c>
      <c r="F14" s="19" t="s">
        <v>15</v>
      </c>
      <c r="G14" s="19">
        <v>65</v>
      </c>
      <c r="H14" s="19">
        <v>48</v>
      </c>
      <c r="I14" s="22">
        <v>0</v>
      </c>
      <c r="J14" s="3">
        <f t="shared" ref="J14" si="12">(IF(F14="SELL",G14-H14,IF(F14="BUY",H14-G14)))*E14</f>
        <v>-8500</v>
      </c>
      <c r="K14" s="3">
        <v>0</v>
      </c>
      <c r="L14" s="4">
        <f t="shared" ref="L14" si="13">(K14+J14)/E14</f>
        <v>-17</v>
      </c>
      <c r="M14" s="4">
        <f t="shared" ref="M14" si="14">L14*E14</f>
        <v>-8500</v>
      </c>
      <c r="N14" s="23"/>
      <c r="O14" s="23"/>
      <c r="P14" s="2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s="14" customFormat="1" ht="15" customHeight="1">
      <c r="A15" s="8">
        <v>43929</v>
      </c>
      <c r="B15" s="19" t="s">
        <v>180</v>
      </c>
      <c r="C15" s="20" t="s">
        <v>16</v>
      </c>
      <c r="D15" s="20">
        <v>500</v>
      </c>
      <c r="E15" s="21">
        <v>900</v>
      </c>
      <c r="F15" s="19" t="s">
        <v>15</v>
      </c>
      <c r="G15" s="19">
        <v>22</v>
      </c>
      <c r="H15" s="19">
        <v>32</v>
      </c>
      <c r="I15" s="22">
        <v>0</v>
      </c>
      <c r="J15" s="3">
        <f t="shared" ref="J15" si="15">(IF(F15="SELL",G15-H15,IF(F15="BUY",H15-G15)))*E15</f>
        <v>9000</v>
      </c>
      <c r="K15" s="3">
        <v>0</v>
      </c>
      <c r="L15" s="4">
        <f t="shared" ref="L15" si="16">(K15+J15)/E15</f>
        <v>10</v>
      </c>
      <c r="M15" s="4">
        <f t="shared" ref="M15" si="17">L15*E15</f>
        <v>9000</v>
      </c>
      <c r="N15" s="23"/>
      <c r="O15" s="23"/>
      <c r="P15" s="2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s="14" customFormat="1" ht="15" customHeight="1">
      <c r="A16" s="8">
        <v>43928</v>
      </c>
      <c r="B16" s="19" t="s">
        <v>176</v>
      </c>
      <c r="C16" s="20" t="s">
        <v>16</v>
      </c>
      <c r="D16" s="20">
        <v>2400</v>
      </c>
      <c r="E16" s="21">
        <v>300</v>
      </c>
      <c r="F16" s="19" t="s">
        <v>15</v>
      </c>
      <c r="G16" s="19">
        <v>75</v>
      </c>
      <c r="H16" s="19">
        <v>100</v>
      </c>
      <c r="I16" s="22">
        <v>150</v>
      </c>
      <c r="J16" s="3">
        <f t="shared" ref="J16" si="18">(IF(F16="SELL",G16-H16,IF(F16="BUY",H16-G16)))*E16</f>
        <v>7500</v>
      </c>
      <c r="K16" s="3">
        <f>50*300</f>
        <v>15000</v>
      </c>
      <c r="L16" s="4">
        <f t="shared" ref="L16" si="19">(K16+J16)/E16</f>
        <v>75</v>
      </c>
      <c r="M16" s="4">
        <f t="shared" ref="M16" si="20">L16*E16</f>
        <v>22500</v>
      </c>
      <c r="N16" s="23"/>
      <c r="O16" s="23"/>
      <c r="P16" s="2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s="14" customFormat="1" ht="15" customHeight="1">
      <c r="A17" s="8">
        <v>43920</v>
      </c>
      <c r="B17" s="19" t="s">
        <v>49</v>
      </c>
      <c r="C17" s="20" t="s">
        <v>14</v>
      </c>
      <c r="D17" s="20">
        <v>180</v>
      </c>
      <c r="E17" s="21">
        <v>1500</v>
      </c>
      <c r="F17" s="19" t="s">
        <v>15</v>
      </c>
      <c r="G17" s="19">
        <v>9</v>
      </c>
      <c r="H17" s="19">
        <v>5</v>
      </c>
      <c r="I17" s="22">
        <v>0</v>
      </c>
      <c r="J17" s="3">
        <f t="shared" ref="J17" si="21">(IF(F17="SELL",G17-H17,IF(F17="BUY",H17-G17)))*E17</f>
        <v>-6000</v>
      </c>
      <c r="K17" s="3">
        <v>0</v>
      </c>
      <c r="L17" s="4">
        <f t="shared" ref="L17" si="22">(K17+J17)/E17</f>
        <v>-4</v>
      </c>
      <c r="M17" s="4">
        <f t="shared" ref="M17" si="23">L17*E17</f>
        <v>-6000</v>
      </c>
      <c r="N17" s="23"/>
      <c r="O17" s="23"/>
      <c r="P17" s="2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s="14" customFormat="1" ht="15" customHeight="1">
      <c r="A18" s="8">
        <v>43915</v>
      </c>
      <c r="B18" s="19" t="s">
        <v>49</v>
      </c>
      <c r="C18" s="20" t="s">
        <v>16</v>
      </c>
      <c r="D18" s="20">
        <v>280</v>
      </c>
      <c r="E18" s="21">
        <v>1500</v>
      </c>
      <c r="F18" s="19" t="s">
        <v>15</v>
      </c>
      <c r="G18" s="19">
        <v>9</v>
      </c>
      <c r="H18" s="19">
        <v>12.5</v>
      </c>
      <c r="I18" s="22">
        <v>0</v>
      </c>
      <c r="J18" s="3">
        <f t="shared" ref="J18" si="24">(IF(F18="SELL",G18-H18,IF(F18="BUY",H18-G18)))*E18</f>
        <v>5250</v>
      </c>
      <c r="K18" s="3">
        <v>0</v>
      </c>
      <c r="L18" s="4">
        <f t="shared" ref="L18" si="25">(K18+J18)/E18</f>
        <v>3.5</v>
      </c>
      <c r="M18" s="4">
        <f t="shared" ref="M18" si="26">L18*E18</f>
        <v>5250</v>
      </c>
      <c r="N18" s="23"/>
      <c r="O18" s="23"/>
      <c r="P18" s="2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s="14" customFormat="1" ht="15" customHeight="1">
      <c r="A19" s="8">
        <v>43908</v>
      </c>
      <c r="B19" s="19" t="s">
        <v>157</v>
      </c>
      <c r="C19" s="20" t="s">
        <v>14</v>
      </c>
      <c r="D19" s="20">
        <v>25</v>
      </c>
      <c r="E19" s="21">
        <v>15700</v>
      </c>
      <c r="F19" s="19" t="s">
        <v>15</v>
      </c>
      <c r="G19" s="19">
        <v>2</v>
      </c>
      <c r="H19" s="19">
        <v>2.5</v>
      </c>
      <c r="I19" s="22">
        <v>0</v>
      </c>
      <c r="J19" s="3">
        <f t="shared" ref="J19" si="27">(IF(F19="SELL",G19-H19,IF(F19="BUY",H19-G19)))*E19</f>
        <v>7850</v>
      </c>
      <c r="K19" s="3">
        <v>0</v>
      </c>
      <c r="L19" s="4">
        <f t="shared" ref="L19" si="28">(K19+J19)/E19</f>
        <v>0.5</v>
      </c>
      <c r="M19" s="4">
        <f t="shared" ref="M19" si="29">L19*E19</f>
        <v>7850</v>
      </c>
      <c r="N19" s="23"/>
      <c r="O19" s="23"/>
      <c r="P19" s="2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s="14" customFormat="1" ht="15" customHeight="1">
      <c r="A20" s="8">
        <v>43902</v>
      </c>
      <c r="B20" s="19" t="s">
        <v>84</v>
      </c>
      <c r="C20" s="20" t="s">
        <v>14</v>
      </c>
      <c r="D20" s="20">
        <v>180</v>
      </c>
      <c r="E20" s="21">
        <v>3000</v>
      </c>
      <c r="F20" s="19" t="s">
        <v>15</v>
      </c>
      <c r="G20" s="19">
        <v>6.3</v>
      </c>
      <c r="H20" s="19">
        <v>11</v>
      </c>
      <c r="I20" s="22">
        <v>18</v>
      </c>
      <c r="J20" s="3">
        <f t="shared" ref="J20" si="30">(IF(F20="SELL",G20-H20,IF(F20="BUY",H20-G20)))*E20</f>
        <v>14100</v>
      </c>
      <c r="K20" s="3">
        <f>E20*7</f>
        <v>21000</v>
      </c>
      <c r="L20" s="4">
        <f t="shared" ref="L20" si="31">(K20+J20)/E20</f>
        <v>11.7</v>
      </c>
      <c r="M20" s="4">
        <f t="shared" ref="M20" si="32">L20*E20</f>
        <v>35100</v>
      </c>
      <c r="N20" s="23"/>
      <c r="O20" s="23"/>
      <c r="P20" s="2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s="14" customFormat="1" ht="15" customHeight="1">
      <c r="A21" s="8">
        <v>43902</v>
      </c>
      <c r="B21" s="19" t="s">
        <v>127</v>
      </c>
      <c r="C21" s="20" t="s">
        <v>14</v>
      </c>
      <c r="D21" s="20">
        <v>120</v>
      </c>
      <c r="E21" s="21">
        <v>1200</v>
      </c>
      <c r="F21" s="19" t="s">
        <v>15</v>
      </c>
      <c r="G21" s="19">
        <v>20</v>
      </c>
      <c r="H21" s="19">
        <v>30</v>
      </c>
      <c r="I21" s="22">
        <v>0</v>
      </c>
      <c r="J21" s="3">
        <f t="shared" ref="J21" si="33">(IF(F21="SELL",G21-H21,IF(F21="BUY",H21-G21)))*E21</f>
        <v>12000</v>
      </c>
      <c r="K21" s="3">
        <v>0</v>
      </c>
      <c r="L21" s="4">
        <f t="shared" ref="L21" si="34">(K21+J21)/E21</f>
        <v>10</v>
      </c>
      <c r="M21" s="4">
        <f t="shared" ref="M21" si="35">L21*E21</f>
        <v>12000</v>
      </c>
      <c r="N21" s="23"/>
      <c r="O21" s="23"/>
      <c r="P21" s="2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s="14" customFormat="1" ht="15" customHeight="1">
      <c r="A22" s="8">
        <v>43902</v>
      </c>
      <c r="B22" s="19" t="s">
        <v>157</v>
      </c>
      <c r="C22" s="20" t="s">
        <v>14</v>
      </c>
      <c r="D22" s="20">
        <v>25</v>
      </c>
      <c r="E22" s="21">
        <v>15700</v>
      </c>
      <c r="F22" s="19" t="s">
        <v>15</v>
      </c>
      <c r="G22" s="19">
        <v>2</v>
      </c>
      <c r="H22" s="19">
        <v>2.9</v>
      </c>
      <c r="I22" s="22">
        <v>4</v>
      </c>
      <c r="J22" s="3">
        <f t="shared" ref="J22" si="36">(IF(F22="SELL",G22-H22,IF(F22="BUY",H22-G22)))*E22</f>
        <v>14129.999999999998</v>
      </c>
      <c r="K22" s="3">
        <f>E22*1.1</f>
        <v>17270</v>
      </c>
      <c r="L22" s="4">
        <f t="shared" ref="L22" si="37">(K22+J22)/E22</f>
        <v>2</v>
      </c>
      <c r="M22" s="4">
        <f t="shared" ref="M22" si="38">L22*E22</f>
        <v>31400</v>
      </c>
      <c r="N22" s="23"/>
      <c r="O22" s="23"/>
      <c r="P22" s="2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s="14" customFormat="1" ht="15" customHeight="1">
      <c r="A23" s="8">
        <v>43895</v>
      </c>
      <c r="B23" s="19" t="s">
        <v>84</v>
      </c>
      <c r="C23" s="20" t="s">
        <v>14</v>
      </c>
      <c r="D23" s="20">
        <v>220</v>
      </c>
      <c r="E23" s="21">
        <v>3000</v>
      </c>
      <c r="F23" s="19" t="s">
        <v>15</v>
      </c>
      <c r="G23" s="19">
        <v>2.5</v>
      </c>
      <c r="H23" s="19">
        <v>4.5</v>
      </c>
      <c r="I23" s="22">
        <v>0</v>
      </c>
      <c r="J23" s="3">
        <f t="shared" ref="J23" si="39">(IF(F23="SELL",G23-H23,IF(F23="BUY",H23-G23)))*E23</f>
        <v>6000</v>
      </c>
      <c r="K23" s="3">
        <v>0</v>
      </c>
      <c r="L23" s="4">
        <f t="shared" ref="L23" si="40">(K23+J23)/E23</f>
        <v>2</v>
      </c>
      <c r="M23" s="4">
        <f t="shared" ref="M23" si="41">L23*E23</f>
        <v>6000</v>
      </c>
      <c r="N23" s="23"/>
      <c r="O23" s="23"/>
      <c r="P23" s="2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s="14" customFormat="1" ht="15" customHeight="1">
      <c r="A24" s="8">
        <v>43881</v>
      </c>
      <c r="B24" s="19" t="s">
        <v>176</v>
      </c>
      <c r="C24" s="20" t="s">
        <v>16</v>
      </c>
      <c r="D24" s="20">
        <v>2320</v>
      </c>
      <c r="E24" s="21">
        <v>300</v>
      </c>
      <c r="F24" s="19" t="s">
        <v>15</v>
      </c>
      <c r="G24" s="19">
        <v>22</v>
      </c>
      <c r="H24" s="19">
        <v>10</v>
      </c>
      <c r="I24" s="22">
        <v>0</v>
      </c>
      <c r="J24" s="3">
        <f t="shared" ref="J24" si="42">(IF(F24="SELL",G24-H24,IF(F24="BUY",H24-G24)))*E24</f>
        <v>-3600</v>
      </c>
      <c r="K24" s="3">
        <v>0</v>
      </c>
      <c r="L24" s="4">
        <f t="shared" ref="L24" si="43">(K24+J24)/E24</f>
        <v>-12</v>
      </c>
      <c r="M24" s="4">
        <f t="shared" ref="M24" si="44">L24*E24</f>
        <v>-3600</v>
      </c>
      <c r="N24" s="23"/>
      <c r="O24" s="23"/>
      <c r="P24" s="2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s="14" customFormat="1" ht="15" customHeight="1">
      <c r="A25" s="8">
        <v>43878</v>
      </c>
      <c r="B25" s="19" t="s">
        <v>100</v>
      </c>
      <c r="C25" s="20" t="s">
        <v>14</v>
      </c>
      <c r="D25" s="20">
        <v>2140</v>
      </c>
      <c r="E25" s="21">
        <v>4800</v>
      </c>
      <c r="F25" s="19" t="s">
        <v>15</v>
      </c>
      <c r="G25" s="19">
        <v>5.7</v>
      </c>
      <c r="H25" s="19">
        <v>7.5</v>
      </c>
      <c r="I25" s="22">
        <v>9.6999999999999993</v>
      </c>
      <c r="J25" s="3">
        <f t="shared" ref="J25:J31" si="45">(IF(F25="SELL",G25-H25,IF(F25="BUY",H25-G25)))*E25</f>
        <v>8640</v>
      </c>
      <c r="K25" s="3">
        <v>9600</v>
      </c>
      <c r="L25" s="4">
        <f t="shared" ref="L25:L31" si="46">(K25+J25)/E25</f>
        <v>3.8</v>
      </c>
      <c r="M25" s="4">
        <f t="shared" ref="M25:M31" si="47">L25*E25</f>
        <v>18240</v>
      </c>
      <c r="N25" s="23"/>
      <c r="O25" s="23"/>
      <c r="P25" s="2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s="14" customFormat="1" ht="15" customHeight="1">
      <c r="A26" s="8">
        <v>43877</v>
      </c>
      <c r="B26" s="19" t="s">
        <v>174</v>
      </c>
      <c r="C26" s="20" t="s">
        <v>16</v>
      </c>
      <c r="D26" s="20">
        <v>560</v>
      </c>
      <c r="E26" s="21">
        <v>2750</v>
      </c>
      <c r="F26" s="19" t="s">
        <v>15</v>
      </c>
      <c r="G26" s="19">
        <v>4.5</v>
      </c>
      <c r="H26" s="19">
        <v>2.1</v>
      </c>
      <c r="I26" s="22">
        <v>0</v>
      </c>
      <c r="J26" s="3">
        <f t="shared" si="45"/>
        <v>-6600</v>
      </c>
      <c r="K26" s="3">
        <v>0</v>
      </c>
      <c r="L26" s="4">
        <f t="shared" si="46"/>
        <v>-2.4</v>
      </c>
      <c r="M26" s="4">
        <f t="shared" si="47"/>
        <v>-6600</v>
      </c>
      <c r="N26" s="23"/>
      <c r="O26" s="23"/>
      <c r="P26" s="2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s="14" customFormat="1" ht="15" customHeight="1">
      <c r="A27" s="8">
        <v>43853</v>
      </c>
      <c r="B27" s="19" t="s">
        <v>164</v>
      </c>
      <c r="C27" s="20" t="s">
        <v>16</v>
      </c>
      <c r="D27" s="20">
        <v>1180</v>
      </c>
      <c r="E27" s="21">
        <v>1200</v>
      </c>
      <c r="F27" s="19" t="s">
        <v>15</v>
      </c>
      <c r="G27" s="19">
        <v>22</v>
      </c>
      <c r="H27" s="19">
        <v>30</v>
      </c>
      <c r="I27" s="22">
        <v>5</v>
      </c>
      <c r="J27" s="3">
        <f t="shared" si="45"/>
        <v>9600</v>
      </c>
      <c r="K27" s="3">
        <f>E27*1</f>
        <v>1200</v>
      </c>
      <c r="L27" s="4">
        <f t="shared" si="46"/>
        <v>9</v>
      </c>
      <c r="M27" s="4">
        <f t="shared" si="47"/>
        <v>10800</v>
      </c>
      <c r="N27" s="23"/>
      <c r="O27" s="23"/>
      <c r="P27" s="2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s="14" customFormat="1" ht="15" customHeight="1">
      <c r="A28" s="8">
        <v>43852</v>
      </c>
      <c r="B28" s="19" t="s">
        <v>163</v>
      </c>
      <c r="C28" s="20" t="s">
        <v>14</v>
      </c>
      <c r="D28" s="20">
        <v>200</v>
      </c>
      <c r="E28" s="21">
        <v>8000</v>
      </c>
      <c r="F28" s="19" t="s">
        <v>15</v>
      </c>
      <c r="G28" s="19">
        <v>3</v>
      </c>
      <c r="H28" s="19">
        <v>4</v>
      </c>
      <c r="I28" s="22">
        <v>5</v>
      </c>
      <c r="J28" s="3">
        <f t="shared" si="45"/>
        <v>8000</v>
      </c>
      <c r="K28" s="3">
        <f>E28*1</f>
        <v>8000</v>
      </c>
      <c r="L28" s="4">
        <f t="shared" si="46"/>
        <v>2</v>
      </c>
      <c r="M28" s="4">
        <f t="shared" si="47"/>
        <v>16000</v>
      </c>
      <c r="N28" s="23"/>
      <c r="O28" s="23"/>
      <c r="P28" s="2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s="14" customFormat="1" ht="15" customHeight="1">
      <c r="A29" s="8">
        <v>43851</v>
      </c>
      <c r="B29" s="19" t="s">
        <v>21</v>
      </c>
      <c r="C29" s="20" t="s">
        <v>14</v>
      </c>
      <c r="D29" s="20">
        <v>160</v>
      </c>
      <c r="E29" s="21">
        <v>7000</v>
      </c>
      <c r="F29" s="19" t="s">
        <v>15</v>
      </c>
      <c r="G29" s="19">
        <v>6.8</v>
      </c>
      <c r="H29" s="19">
        <v>7.8</v>
      </c>
      <c r="I29" s="22">
        <v>0</v>
      </c>
      <c r="J29" s="3">
        <f t="shared" si="45"/>
        <v>7000</v>
      </c>
      <c r="K29" s="3">
        <v>0</v>
      </c>
      <c r="L29" s="4">
        <f t="shared" si="46"/>
        <v>1</v>
      </c>
      <c r="M29" s="4">
        <f t="shared" si="47"/>
        <v>7000</v>
      </c>
      <c r="N29" s="23"/>
      <c r="O29" s="23"/>
      <c r="P29" s="2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s="14" customFormat="1" ht="15" customHeight="1">
      <c r="A30" s="8">
        <v>43833</v>
      </c>
      <c r="B30" s="19" t="s">
        <v>175</v>
      </c>
      <c r="C30" s="20" t="s">
        <v>16</v>
      </c>
      <c r="D30" s="20">
        <v>3050</v>
      </c>
      <c r="E30" s="21">
        <v>500</v>
      </c>
      <c r="F30" s="19" t="s">
        <v>15</v>
      </c>
      <c r="G30" s="19">
        <v>36</v>
      </c>
      <c r="H30" s="19">
        <v>46</v>
      </c>
      <c r="I30" s="22">
        <v>60</v>
      </c>
      <c r="J30" s="3">
        <f t="shared" si="45"/>
        <v>5000</v>
      </c>
      <c r="K30" s="3">
        <v>6500</v>
      </c>
      <c r="L30" s="4">
        <f t="shared" si="46"/>
        <v>23</v>
      </c>
      <c r="M30" s="4">
        <f t="shared" si="47"/>
        <v>11500</v>
      </c>
      <c r="N30" s="23"/>
      <c r="O30" s="23"/>
      <c r="P30" s="2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s="14" customFormat="1" ht="15" customHeight="1">
      <c r="A31" s="8">
        <v>43832</v>
      </c>
      <c r="B31" s="19" t="s">
        <v>25</v>
      </c>
      <c r="C31" s="20" t="s">
        <v>16</v>
      </c>
      <c r="D31" s="20">
        <v>2460</v>
      </c>
      <c r="E31" s="21">
        <v>500</v>
      </c>
      <c r="F31" s="19" t="s">
        <v>15</v>
      </c>
      <c r="G31" s="19">
        <v>47</v>
      </c>
      <c r="H31" s="19">
        <v>55</v>
      </c>
      <c r="I31" s="22">
        <v>60</v>
      </c>
      <c r="J31" s="3">
        <f t="shared" si="45"/>
        <v>4000</v>
      </c>
      <c r="K31" s="3">
        <f>E31*5</f>
        <v>2500</v>
      </c>
      <c r="L31" s="4">
        <f t="shared" si="46"/>
        <v>13</v>
      </c>
      <c r="M31" s="4">
        <f t="shared" si="47"/>
        <v>6500</v>
      </c>
      <c r="N31" s="23"/>
      <c r="O31" s="23"/>
      <c r="P31" s="2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s="14" customFormat="1" ht="15" customHeight="1">
      <c r="A32" s="8"/>
      <c r="B32" s="19"/>
      <c r="C32" s="20"/>
      <c r="D32" s="20"/>
      <c r="E32" s="21"/>
      <c r="F32" s="19"/>
      <c r="G32" s="19"/>
      <c r="H32" s="19"/>
      <c r="I32" s="22"/>
      <c r="J32" s="3"/>
      <c r="K32" s="3"/>
      <c r="L32" s="4"/>
      <c r="M32" s="4"/>
      <c r="N32" s="23"/>
      <c r="O32" s="23"/>
      <c r="P32" s="2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s="14" customFormat="1" ht="15" customHeight="1">
      <c r="A33" s="8"/>
      <c r="B33" s="19"/>
      <c r="C33" s="20"/>
      <c r="D33" s="20"/>
      <c r="E33" s="21"/>
      <c r="F33" s="19"/>
      <c r="G33" s="19"/>
      <c r="H33" s="19"/>
      <c r="I33" s="22"/>
      <c r="J33" s="3"/>
      <c r="K33" s="3"/>
      <c r="L33" s="4"/>
      <c r="M33" s="4"/>
      <c r="N33" s="23"/>
      <c r="O33" s="23"/>
      <c r="P33" s="2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s="14" customFormat="1" ht="15" customHeight="1">
      <c r="A34" s="8"/>
      <c r="B34" s="19"/>
      <c r="C34" s="20"/>
      <c r="D34" s="20"/>
      <c r="E34" s="21"/>
      <c r="F34" s="19"/>
      <c r="G34" s="19"/>
      <c r="H34" s="19"/>
      <c r="I34" s="22"/>
      <c r="J34" s="3"/>
      <c r="K34" s="3"/>
      <c r="L34" s="4"/>
      <c r="M34" s="4"/>
      <c r="N34" s="23"/>
      <c r="O34" s="23"/>
      <c r="P34" s="2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s="14" customFormat="1" ht="15" customHeight="1">
      <c r="A35" s="8"/>
      <c r="B35" s="19"/>
      <c r="C35" s="20"/>
      <c r="D35" s="20"/>
      <c r="E35" s="21"/>
      <c r="F35" s="19"/>
      <c r="G35" s="19"/>
      <c r="H35" s="19"/>
      <c r="I35" s="22"/>
      <c r="J35" s="3"/>
      <c r="K35" s="3"/>
      <c r="L35" s="4"/>
      <c r="M35" s="4"/>
      <c r="N35" s="23"/>
      <c r="O35" s="23"/>
      <c r="P35" s="2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14" customFormat="1" ht="15" customHeight="1">
      <c r="A36" s="8"/>
      <c r="B36" s="19"/>
      <c r="C36" s="20"/>
      <c r="D36" s="20"/>
      <c r="E36" s="21"/>
      <c r="F36" s="19"/>
      <c r="G36" s="19"/>
      <c r="H36" s="19"/>
      <c r="I36" s="22"/>
      <c r="J36" s="3"/>
      <c r="K36" s="3"/>
      <c r="L36" s="4"/>
      <c r="M36" s="4"/>
      <c r="N36" s="23"/>
      <c r="O36" s="23"/>
      <c r="P36" s="2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s="14" customFormat="1" ht="15" customHeight="1">
      <c r="A37" s="8"/>
      <c r="B37" s="19"/>
      <c r="C37" s="20"/>
      <c r="D37" s="20"/>
      <c r="E37" s="21"/>
      <c r="F37" s="19"/>
      <c r="G37" s="19"/>
      <c r="H37" s="19"/>
      <c r="I37" s="22"/>
      <c r="J37" s="3"/>
      <c r="K37" s="3"/>
      <c r="L37" s="4"/>
      <c r="M37" s="4"/>
      <c r="N37" s="23"/>
      <c r="O37" s="23"/>
      <c r="P37" s="2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14" customFormat="1" ht="15" customHeight="1">
      <c r="A38" s="8"/>
      <c r="B38" s="19"/>
      <c r="C38" s="20"/>
      <c r="D38" s="20"/>
      <c r="E38" s="21"/>
      <c r="F38" s="19"/>
      <c r="G38" s="19"/>
      <c r="H38" s="19"/>
      <c r="I38" s="22"/>
      <c r="J38" s="3"/>
      <c r="K38" s="3"/>
      <c r="L38" s="4"/>
      <c r="M38" s="4"/>
      <c r="N38" s="23"/>
      <c r="O38" s="23"/>
      <c r="P38" s="2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s="14" customFormat="1" ht="15" customHeight="1">
      <c r="A39" s="8"/>
      <c r="B39" s="19"/>
      <c r="C39" s="20"/>
      <c r="D39" s="20"/>
      <c r="E39" s="21"/>
      <c r="F39" s="19"/>
      <c r="G39" s="19"/>
      <c r="H39" s="19"/>
      <c r="I39" s="22"/>
      <c r="J39" s="3"/>
      <c r="K39" s="3"/>
      <c r="L39" s="4"/>
      <c r="M39" s="4"/>
      <c r="N39" s="23"/>
      <c r="O39" s="23"/>
      <c r="P39" s="2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s="14" customFormat="1" ht="15" customHeight="1">
      <c r="A40" s="8"/>
      <c r="B40" s="19"/>
      <c r="C40" s="20"/>
      <c r="D40" s="20"/>
      <c r="E40" s="21"/>
      <c r="F40" s="19"/>
      <c r="G40" s="19"/>
      <c r="H40" s="19"/>
      <c r="I40" s="22"/>
      <c r="J40" s="3"/>
      <c r="K40" s="3"/>
      <c r="L40" s="4"/>
      <c r="M40" s="4"/>
      <c r="N40" s="23"/>
      <c r="O40" s="23"/>
      <c r="P40" s="2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s="14" customFormat="1" ht="15" customHeight="1">
      <c r="A41" s="8"/>
      <c r="B41" s="19"/>
      <c r="C41" s="20"/>
      <c r="D41" s="20"/>
      <c r="E41" s="21"/>
      <c r="F41" s="19"/>
      <c r="G41" s="19"/>
      <c r="H41" s="19"/>
      <c r="I41" s="22"/>
      <c r="J41" s="3"/>
      <c r="K41" s="3"/>
      <c r="L41" s="4"/>
      <c r="M41" s="4"/>
      <c r="N41" s="23"/>
      <c r="O41" s="23"/>
      <c r="P41" s="2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s="14" customFormat="1" ht="15" customHeight="1">
      <c r="A42" s="8"/>
      <c r="B42" s="19"/>
      <c r="C42" s="20"/>
      <c r="D42" s="20"/>
      <c r="E42" s="21"/>
      <c r="F42" s="19"/>
      <c r="G42" s="19"/>
      <c r="H42" s="19"/>
      <c r="I42" s="22"/>
      <c r="J42" s="3"/>
      <c r="K42" s="3"/>
      <c r="L42" s="4"/>
      <c r="M42" s="4"/>
      <c r="N42" s="23"/>
      <c r="O42" s="23"/>
      <c r="P42" s="2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s="14" customFormat="1" ht="15" customHeight="1">
      <c r="A43" s="8"/>
      <c r="B43" s="19"/>
      <c r="C43" s="20"/>
      <c r="D43" s="20"/>
      <c r="E43" s="21"/>
      <c r="F43" s="19"/>
      <c r="G43" s="19"/>
      <c r="H43" s="19"/>
      <c r="I43" s="22"/>
      <c r="J43" s="3"/>
      <c r="K43" s="3"/>
      <c r="L43" s="4"/>
      <c r="M43" s="4"/>
      <c r="N43" s="23"/>
      <c r="O43" s="23"/>
      <c r="P43" s="2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14" customFormat="1" ht="15" customHeight="1">
      <c r="A44" s="8"/>
      <c r="B44" s="19"/>
      <c r="C44" s="20"/>
      <c r="D44" s="20"/>
      <c r="E44" s="21"/>
      <c r="F44" s="19"/>
      <c r="G44" s="19"/>
      <c r="H44" s="19"/>
      <c r="I44" s="22"/>
      <c r="J44" s="3"/>
      <c r="K44" s="3"/>
      <c r="L44" s="4"/>
      <c r="M44" s="4"/>
      <c r="N44" s="23"/>
      <c r="O44" s="23"/>
      <c r="P44" s="2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s="14" customFormat="1" ht="15" customHeight="1">
      <c r="A45" s="8"/>
      <c r="B45" s="19"/>
      <c r="C45" s="20"/>
      <c r="D45" s="20"/>
      <c r="E45" s="21"/>
      <c r="F45" s="19"/>
      <c r="G45" s="19"/>
      <c r="H45" s="19"/>
      <c r="I45" s="22"/>
      <c r="J45" s="3"/>
      <c r="K45" s="3"/>
      <c r="L45" s="4"/>
      <c r="M45" s="4"/>
      <c r="N45" s="23"/>
      <c r="O45" s="23"/>
      <c r="P45" s="2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s="14" customFormat="1" ht="15" customHeight="1">
      <c r="A46" s="8"/>
      <c r="B46" s="19"/>
      <c r="C46" s="20"/>
      <c r="D46" s="20"/>
      <c r="E46" s="21"/>
      <c r="F46" s="19"/>
      <c r="G46" s="19"/>
      <c r="H46" s="19"/>
      <c r="I46" s="22"/>
      <c r="J46" s="3"/>
      <c r="K46" s="3"/>
      <c r="L46" s="4"/>
      <c r="M46" s="4"/>
      <c r="N46" s="23"/>
      <c r="O46" s="23"/>
      <c r="P46" s="2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s="14" customFormat="1" ht="15" customHeight="1">
      <c r="A47" s="8"/>
      <c r="B47" s="19"/>
      <c r="C47" s="20"/>
      <c r="D47" s="20"/>
      <c r="E47" s="21"/>
      <c r="F47" s="19"/>
      <c r="G47" s="19"/>
      <c r="H47" s="19"/>
      <c r="I47" s="22"/>
      <c r="J47" s="3"/>
      <c r="K47" s="3"/>
      <c r="L47" s="4"/>
      <c r="M47" s="4"/>
      <c r="N47" s="23"/>
      <c r="O47" s="23"/>
      <c r="P47" s="2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s="14" customFormat="1" ht="15" customHeight="1">
      <c r="A48" s="8"/>
      <c r="B48" s="19"/>
      <c r="C48" s="20"/>
      <c r="D48" s="20"/>
      <c r="E48" s="21"/>
      <c r="F48" s="19"/>
      <c r="G48" s="19"/>
      <c r="H48" s="19"/>
      <c r="I48" s="22"/>
      <c r="J48" s="3"/>
      <c r="K48" s="3"/>
      <c r="L48" s="4"/>
      <c r="M48" s="4"/>
      <c r="N48" s="23"/>
      <c r="O48" s="23"/>
      <c r="P48" s="2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s="14" customFormat="1" ht="15" customHeight="1">
      <c r="A49" s="8"/>
      <c r="B49" s="19"/>
      <c r="C49" s="20"/>
      <c r="D49" s="20"/>
      <c r="E49" s="21"/>
      <c r="F49" s="19"/>
      <c r="G49" s="19"/>
      <c r="H49" s="19"/>
      <c r="I49" s="22"/>
      <c r="J49" s="3"/>
      <c r="K49" s="3"/>
      <c r="L49" s="4"/>
      <c r="M49" s="4"/>
      <c r="N49" s="23"/>
      <c r="O49" s="23"/>
      <c r="P49" s="2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s="14" customFormat="1" ht="15" customHeight="1">
      <c r="A50" s="8"/>
      <c r="B50" s="19"/>
      <c r="C50" s="20"/>
      <c r="D50" s="20"/>
      <c r="E50" s="21"/>
      <c r="F50" s="19"/>
      <c r="G50" s="19"/>
      <c r="H50" s="19"/>
      <c r="I50" s="22"/>
      <c r="J50" s="3"/>
      <c r="K50" s="3"/>
      <c r="L50" s="4"/>
      <c r="M50" s="4"/>
      <c r="N50" s="23"/>
      <c r="O50" s="23"/>
      <c r="P50" s="2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s="14" customFormat="1" ht="15" customHeight="1">
      <c r="A51" s="8"/>
      <c r="B51" s="19"/>
      <c r="C51" s="20"/>
      <c r="D51" s="20"/>
      <c r="E51" s="21"/>
      <c r="F51" s="19"/>
      <c r="G51" s="19"/>
      <c r="H51" s="19"/>
      <c r="I51" s="22"/>
      <c r="J51" s="3"/>
      <c r="K51" s="3"/>
      <c r="L51" s="4"/>
      <c r="M51" s="4"/>
      <c r="N51" s="23"/>
      <c r="O51" s="23"/>
      <c r="P51" s="2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s="14" customFormat="1" ht="15" customHeight="1">
      <c r="A52" s="8"/>
      <c r="B52" s="19"/>
      <c r="C52" s="20"/>
      <c r="D52" s="20"/>
      <c r="E52" s="21"/>
      <c r="F52" s="19"/>
      <c r="G52" s="19"/>
      <c r="H52" s="19"/>
      <c r="I52" s="22"/>
      <c r="J52" s="3"/>
      <c r="K52" s="3"/>
      <c r="L52" s="4"/>
      <c r="M52" s="4"/>
      <c r="N52" s="23"/>
      <c r="O52" s="23"/>
      <c r="P52" s="2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s="14" customFormat="1" ht="15" customHeight="1">
      <c r="A53" s="8"/>
      <c r="B53" s="19"/>
      <c r="C53" s="20"/>
      <c r="D53" s="20"/>
      <c r="E53" s="21"/>
      <c r="F53" s="19"/>
      <c r="G53" s="19"/>
      <c r="H53" s="19"/>
      <c r="I53" s="22"/>
      <c r="J53" s="3"/>
      <c r="K53" s="3"/>
      <c r="L53" s="4"/>
      <c r="M53" s="4"/>
      <c r="N53" s="23"/>
      <c r="O53" s="23"/>
      <c r="P53" s="2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 s="14" customFormat="1" ht="15" customHeight="1">
      <c r="A54" s="8"/>
      <c r="B54" s="19"/>
      <c r="C54" s="20"/>
      <c r="D54" s="20"/>
      <c r="E54" s="21"/>
      <c r="F54" s="19"/>
      <c r="G54" s="19"/>
      <c r="H54" s="19"/>
      <c r="I54" s="22"/>
      <c r="J54" s="3"/>
      <c r="K54" s="3"/>
      <c r="L54" s="4"/>
      <c r="M54" s="4"/>
      <c r="N54" s="23"/>
      <c r="O54" s="23"/>
      <c r="P54" s="2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s="14" customFormat="1" ht="15" customHeight="1">
      <c r="A55" s="8"/>
      <c r="B55" s="19"/>
      <c r="C55" s="20"/>
      <c r="D55" s="20"/>
      <c r="E55" s="21"/>
      <c r="F55" s="19"/>
      <c r="G55" s="19"/>
      <c r="H55" s="19"/>
      <c r="I55" s="22"/>
      <c r="J55" s="3"/>
      <c r="K55" s="3"/>
      <c r="L55" s="4"/>
      <c r="M55" s="4"/>
      <c r="N55" s="23"/>
      <c r="O55" s="23"/>
      <c r="P55" s="2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s="14" customFormat="1" ht="15" customHeight="1">
      <c r="A56" s="8"/>
      <c r="B56" s="19"/>
      <c r="C56" s="20"/>
      <c r="D56" s="20"/>
      <c r="E56" s="21"/>
      <c r="F56" s="19"/>
      <c r="G56" s="19"/>
      <c r="H56" s="19"/>
      <c r="I56" s="22"/>
      <c r="J56" s="3"/>
      <c r="K56" s="3"/>
      <c r="L56" s="4"/>
      <c r="M56" s="4"/>
      <c r="N56" s="23"/>
      <c r="O56" s="23"/>
      <c r="P56" s="2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1:33" s="14" customFormat="1" ht="15" customHeight="1">
      <c r="A57" s="8"/>
      <c r="B57" s="19"/>
      <c r="C57" s="20"/>
      <c r="D57" s="20"/>
      <c r="E57" s="21"/>
      <c r="F57" s="19"/>
      <c r="G57" s="19"/>
      <c r="H57" s="19"/>
      <c r="I57" s="22"/>
      <c r="J57" s="3"/>
      <c r="K57" s="3"/>
      <c r="L57" s="4"/>
      <c r="M57" s="4"/>
      <c r="N57" s="23"/>
      <c r="O57" s="23"/>
      <c r="P57" s="2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33" s="14" customFormat="1" ht="15" customHeight="1">
      <c r="A58" s="8"/>
      <c r="B58" s="19"/>
      <c r="C58" s="20"/>
      <c r="D58" s="20"/>
      <c r="E58" s="21"/>
      <c r="F58" s="19"/>
      <c r="G58" s="19"/>
      <c r="H58" s="19"/>
      <c r="I58" s="22"/>
      <c r="J58" s="3"/>
      <c r="K58" s="3"/>
      <c r="L58" s="4"/>
      <c r="M58" s="4"/>
      <c r="N58" s="23"/>
      <c r="O58" s="23"/>
      <c r="P58" s="2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 s="14" customFormat="1" ht="15" customHeight="1">
      <c r="A59" s="8"/>
      <c r="B59" s="19"/>
      <c r="C59" s="20"/>
      <c r="D59" s="20"/>
      <c r="E59" s="21"/>
      <c r="F59" s="19"/>
      <c r="G59" s="19"/>
      <c r="H59" s="19"/>
      <c r="I59" s="22"/>
      <c r="J59" s="3"/>
      <c r="K59" s="3"/>
      <c r="L59" s="4"/>
      <c r="M59" s="4"/>
      <c r="N59" s="23"/>
      <c r="O59" s="23"/>
      <c r="P59" s="2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3" s="14" customFormat="1" ht="15" customHeight="1">
      <c r="A60" s="8"/>
      <c r="B60" s="19"/>
      <c r="C60" s="20"/>
      <c r="D60" s="20"/>
      <c r="E60" s="21"/>
      <c r="F60" s="19"/>
      <c r="G60" s="19"/>
      <c r="H60" s="19"/>
      <c r="I60" s="22"/>
      <c r="J60" s="3"/>
      <c r="K60" s="3"/>
      <c r="L60" s="4"/>
      <c r="M60" s="4"/>
      <c r="N60" s="23"/>
      <c r="O60" s="23"/>
      <c r="P60" s="2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3" s="14" customFormat="1" ht="15" customHeight="1">
      <c r="A61" s="8"/>
      <c r="B61" s="19"/>
      <c r="C61" s="20"/>
      <c r="D61" s="20"/>
      <c r="E61" s="21"/>
      <c r="F61" s="19"/>
      <c r="G61" s="19"/>
      <c r="H61" s="19"/>
      <c r="I61" s="22"/>
      <c r="J61" s="3"/>
      <c r="K61" s="3"/>
      <c r="L61" s="4"/>
      <c r="M61" s="4"/>
      <c r="N61" s="23"/>
      <c r="O61" s="23"/>
      <c r="P61" s="2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3" s="14" customFormat="1" ht="15" customHeight="1">
      <c r="A62" s="8"/>
      <c r="B62" s="19"/>
      <c r="C62" s="20"/>
      <c r="D62" s="20"/>
      <c r="E62" s="21"/>
      <c r="F62" s="19"/>
      <c r="G62" s="19"/>
      <c r="H62" s="19"/>
      <c r="I62" s="22"/>
      <c r="J62" s="3"/>
      <c r="K62" s="3"/>
      <c r="L62" s="4"/>
      <c r="M62" s="4"/>
      <c r="N62" s="23"/>
      <c r="O62" s="23"/>
      <c r="P62" s="2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1:33" s="14" customFormat="1" ht="15" customHeight="1">
      <c r="A63" s="8"/>
      <c r="B63" s="19"/>
      <c r="C63" s="20"/>
      <c r="D63" s="20"/>
      <c r="E63" s="21"/>
      <c r="F63" s="19"/>
      <c r="G63" s="19"/>
      <c r="H63" s="19"/>
      <c r="I63" s="22"/>
      <c r="J63" s="3"/>
      <c r="K63" s="3"/>
      <c r="L63" s="4"/>
      <c r="M63" s="4"/>
      <c r="N63" s="23"/>
      <c r="O63" s="23"/>
      <c r="P63" s="2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 s="14" customFormat="1" ht="15" customHeight="1">
      <c r="A64" s="8"/>
      <c r="B64" s="19"/>
      <c r="C64" s="20"/>
      <c r="D64" s="20"/>
      <c r="E64" s="21"/>
      <c r="F64" s="19"/>
      <c r="G64" s="19"/>
      <c r="H64" s="19"/>
      <c r="I64" s="22"/>
      <c r="J64" s="3"/>
      <c r="K64" s="3"/>
      <c r="L64" s="4"/>
      <c r="M64" s="4"/>
      <c r="N64" s="23"/>
      <c r="O64" s="23"/>
      <c r="P64" s="2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:33" s="14" customFormat="1" ht="15" customHeight="1">
      <c r="A65" s="8"/>
      <c r="B65" s="19"/>
      <c r="C65" s="20"/>
      <c r="D65" s="20"/>
      <c r="E65" s="21"/>
      <c r="F65" s="19"/>
      <c r="G65" s="19"/>
      <c r="H65" s="19"/>
      <c r="I65" s="22"/>
      <c r="J65" s="3"/>
      <c r="K65" s="3"/>
      <c r="L65" s="4"/>
      <c r="M65" s="4"/>
      <c r="N65" s="23"/>
      <c r="O65" s="23"/>
      <c r="P65" s="2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:33" s="14" customFormat="1" ht="15" customHeight="1">
      <c r="A66" s="8"/>
      <c r="B66" s="19"/>
      <c r="C66" s="20"/>
      <c r="D66" s="20"/>
      <c r="E66" s="21"/>
      <c r="F66" s="19"/>
      <c r="G66" s="19"/>
      <c r="H66" s="19"/>
      <c r="I66" s="22"/>
      <c r="J66" s="3"/>
      <c r="K66" s="3"/>
      <c r="L66" s="4"/>
      <c r="M66" s="4"/>
      <c r="N66" s="23"/>
      <c r="O66" s="23"/>
      <c r="P66" s="2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:33" s="14" customFormat="1" ht="15" customHeight="1">
      <c r="A67" s="8"/>
      <c r="B67" s="19"/>
      <c r="C67" s="20"/>
      <c r="D67" s="20"/>
      <c r="E67" s="21"/>
      <c r="F67" s="19"/>
      <c r="G67" s="19"/>
      <c r="H67" s="19"/>
      <c r="I67" s="22"/>
      <c r="J67" s="3"/>
      <c r="K67" s="3"/>
      <c r="L67" s="4"/>
      <c r="M67" s="4"/>
      <c r="N67" s="23"/>
      <c r="O67" s="23"/>
      <c r="P67" s="2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1:33" s="14" customFormat="1" ht="15" customHeight="1">
      <c r="A68" s="8"/>
      <c r="B68" s="19"/>
      <c r="C68" s="20"/>
      <c r="D68" s="20"/>
      <c r="E68" s="21"/>
      <c r="F68" s="19"/>
      <c r="G68" s="19"/>
      <c r="H68" s="19"/>
      <c r="I68" s="22"/>
      <c r="J68" s="3"/>
      <c r="K68" s="3"/>
      <c r="L68" s="4"/>
      <c r="M68" s="4"/>
      <c r="N68" s="23"/>
      <c r="O68" s="23"/>
      <c r="P68" s="2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:33" s="14" customFormat="1" ht="15" customHeight="1">
      <c r="A69" s="8"/>
      <c r="B69" s="19"/>
      <c r="C69" s="20"/>
      <c r="D69" s="20"/>
      <c r="E69" s="21"/>
      <c r="F69" s="19"/>
      <c r="G69" s="19"/>
      <c r="H69" s="19"/>
      <c r="I69" s="22"/>
      <c r="J69" s="3"/>
      <c r="K69" s="3"/>
      <c r="L69" s="4"/>
      <c r="M69" s="4"/>
      <c r="N69" s="23"/>
      <c r="O69" s="23"/>
      <c r="P69" s="2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:33" s="14" customFormat="1" ht="15" customHeight="1">
      <c r="A70" s="8"/>
      <c r="B70" s="19"/>
      <c r="C70" s="20"/>
      <c r="D70" s="20"/>
      <c r="E70" s="21"/>
      <c r="F70" s="19"/>
      <c r="G70" s="19"/>
      <c r="H70" s="19"/>
      <c r="I70" s="22"/>
      <c r="J70" s="3"/>
      <c r="K70" s="3"/>
      <c r="L70" s="4"/>
      <c r="M70" s="4"/>
      <c r="N70" s="23"/>
      <c r="O70" s="23"/>
      <c r="P70" s="2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s="14" customFormat="1" ht="15" customHeight="1">
      <c r="A71" s="8"/>
      <c r="B71" s="19"/>
      <c r="C71" s="20"/>
      <c r="D71" s="20"/>
      <c r="E71" s="21"/>
      <c r="F71" s="19"/>
      <c r="G71" s="19"/>
      <c r="H71" s="19"/>
      <c r="I71" s="22"/>
      <c r="J71" s="3"/>
      <c r="K71" s="3"/>
      <c r="L71" s="4"/>
      <c r="M71" s="4"/>
      <c r="N71" s="23"/>
      <c r="O71" s="23"/>
      <c r="P71" s="2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1:33" s="14" customFormat="1" ht="15" customHeight="1">
      <c r="A72" s="8"/>
      <c r="B72" s="19"/>
      <c r="C72" s="20"/>
      <c r="D72" s="20"/>
      <c r="E72" s="21"/>
      <c r="F72" s="19"/>
      <c r="G72" s="19"/>
      <c r="H72" s="19"/>
      <c r="I72" s="22"/>
      <c r="J72" s="3"/>
      <c r="K72" s="3"/>
      <c r="L72" s="4"/>
      <c r="M72" s="4"/>
      <c r="N72" s="23"/>
      <c r="O72" s="23"/>
      <c r="P72" s="2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s="14" customFormat="1" ht="15" customHeight="1">
      <c r="A73" s="8"/>
      <c r="B73" s="19"/>
      <c r="C73" s="20"/>
      <c r="D73" s="20"/>
      <c r="E73" s="21"/>
      <c r="F73" s="19"/>
      <c r="G73" s="19"/>
      <c r="H73" s="19"/>
      <c r="I73" s="22"/>
      <c r="J73" s="3"/>
      <c r="K73" s="3"/>
      <c r="L73" s="4"/>
      <c r="M73" s="4"/>
      <c r="N73" s="23"/>
      <c r="O73" s="23"/>
      <c r="P73" s="2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1:33" s="14" customFormat="1" ht="15" customHeight="1">
      <c r="A74" s="8"/>
      <c r="B74" s="19"/>
      <c r="C74" s="20"/>
      <c r="D74" s="20"/>
      <c r="E74" s="21"/>
      <c r="F74" s="19"/>
      <c r="G74" s="19"/>
      <c r="H74" s="19"/>
      <c r="I74" s="22"/>
      <c r="J74" s="3"/>
      <c r="K74" s="3"/>
      <c r="L74" s="4"/>
      <c r="M74" s="4"/>
      <c r="N74" s="23"/>
      <c r="O74" s="23"/>
      <c r="P74" s="2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3" s="14" customFormat="1" ht="15" customHeight="1">
      <c r="A75" s="8"/>
      <c r="B75" s="19"/>
      <c r="C75" s="20"/>
      <c r="D75" s="20"/>
      <c r="E75" s="21"/>
      <c r="F75" s="19"/>
      <c r="G75" s="19"/>
      <c r="H75" s="19"/>
      <c r="I75" s="22"/>
      <c r="J75" s="3"/>
      <c r="K75" s="3"/>
      <c r="L75" s="4"/>
      <c r="M75" s="4"/>
      <c r="N75" s="23"/>
      <c r="O75" s="23"/>
      <c r="P75" s="2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3" s="14" customFormat="1" ht="15" customHeight="1">
      <c r="A76" s="8"/>
      <c r="B76" s="19"/>
      <c r="C76" s="20"/>
      <c r="D76" s="20"/>
      <c r="E76" s="21"/>
      <c r="F76" s="19"/>
      <c r="G76" s="19"/>
      <c r="H76" s="19"/>
      <c r="I76" s="22"/>
      <c r="J76" s="3"/>
      <c r="K76" s="3"/>
      <c r="L76" s="4"/>
      <c r="M76" s="4"/>
      <c r="N76" s="23"/>
      <c r="O76" s="23"/>
      <c r="P76" s="2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1:33" s="14" customFormat="1" ht="15" customHeight="1">
      <c r="A77" s="8"/>
      <c r="B77" s="19"/>
      <c r="C77" s="20"/>
      <c r="D77" s="20"/>
      <c r="E77" s="21"/>
      <c r="F77" s="19"/>
      <c r="G77" s="19"/>
      <c r="H77" s="19"/>
      <c r="I77" s="22"/>
      <c r="J77" s="3"/>
      <c r="K77" s="3"/>
      <c r="L77" s="4"/>
      <c r="M77" s="4"/>
      <c r="N77" s="23"/>
      <c r="O77" s="23"/>
      <c r="P77" s="2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1:33" s="14" customFormat="1" ht="15" customHeight="1">
      <c r="A78" s="8"/>
      <c r="B78" s="19"/>
      <c r="C78" s="20"/>
      <c r="D78" s="20"/>
      <c r="E78" s="21"/>
      <c r="F78" s="19"/>
      <c r="G78" s="19"/>
      <c r="H78" s="19"/>
      <c r="I78" s="22"/>
      <c r="J78" s="3"/>
      <c r="K78" s="3"/>
      <c r="L78" s="4"/>
      <c r="M78" s="4"/>
      <c r="N78" s="23"/>
      <c r="O78" s="23"/>
      <c r="P78" s="2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spans="1:33" s="14" customFormat="1" ht="15" customHeight="1">
      <c r="A79" s="8"/>
      <c r="B79" s="19"/>
      <c r="C79" s="20"/>
      <c r="D79" s="20"/>
      <c r="E79" s="21"/>
      <c r="F79" s="19"/>
      <c r="G79" s="19"/>
      <c r="H79" s="19"/>
      <c r="I79" s="22"/>
      <c r="J79" s="3"/>
      <c r="K79" s="3"/>
      <c r="L79" s="4"/>
      <c r="M79" s="4"/>
      <c r="N79" s="23"/>
      <c r="O79" s="23"/>
      <c r="P79" s="2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:33" s="14" customFormat="1" ht="15" customHeight="1">
      <c r="A80" s="8"/>
      <c r="B80" s="19"/>
      <c r="C80" s="20"/>
      <c r="D80" s="20"/>
      <c r="E80" s="21"/>
      <c r="F80" s="19"/>
      <c r="G80" s="19"/>
      <c r="H80" s="19"/>
      <c r="I80" s="22"/>
      <c r="J80" s="3"/>
      <c r="K80" s="3"/>
      <c r="L80" s="4"/>
      <c r="M80" s="4"/>
      <c r="N80" s="23"/>
      <c r="O80" s="23"/>
      <c r="P80" s="2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33" s="14" customFormat="1" ht="15" customHeight="1">
      <c r="A81" s="8"/>
      <c r="B81" s="19"/>
      <c r="C81" s="20"/>
      <c r="D81" s="20"/>
      <c r="E81" s="21"/>
      <c r="F81" s="19"/>
      <c r="G81" s="19"/>
      <c r="H81" s="19"/>
      <c r="I81" s="22"/>
      <c r="J81" s="3"/>
      <c r="K81" s="3"/>
      <c r="L81" s="4"/>
      <c r="M81" s="4"/>
      <c r="N81" s="23"/>
      <c r="O81" s="23"/>
      <c r="P81" s="2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:33" s="14" customFormat="1" ht="15" customHeight="1">
      <c r="A82" s="8"/>
      <c r="B82" s="19"/>
      <c r="C82" s="20"/>
      <c r="D82" s="20"/>
      <c r="E82" s="21"/>
      <c r="F82" s="19"/>
      <c r="G82" s="19"/>
      <c r="H82" s="19"/>
      <c r="I82" s="22"/>
      <c r="J82" s="3"/>
      <c r="K82" s="3"/>
      <c r="L82" s="4"/>
      <c r="M82" s="4"/>
      <c r="N82" s="23"/>
      <c r="O82" s="23"/>
      <c r="P82" s="2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spans="1:33" s="14" customFormat="1" ht="15" customHeight="1">
      <c r="A83" s="8"/>
      <c r="B83" s="19"/>
      <c r="C83" s="20"/>
      <c r="D83" s="20"/>
      <c r="E83" s="21"/>
      <c r="F83" s="19"/>
      <c r="G83" s="19"/>
      <c r="H83" s="19"/>
      <c r="I83" s="22"/>
      <c r="J83" s="3"/>
      <c r="K83" s="3"/>
      <c r="L83" s="4"/>
      <c r="M83" s="4"/>
      <c r="N83" s="23"/>
      <c r="O83" s="23"/>
      <c r="P83" s="2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</row>
    <row r="84" spans="1:33" s="14" customFormat="1" ht="15" customHeight="1">
      <c r="A84" s="8"/>
      <c r="B84" s="19"/>
      <c r="C84" s="20"/>
      <c r="D84" s="20"/>
      <c r="E84" s="21"/>
      <c r="F84" s="19"/>
      <c r="G84" s="19"/>
      <c r="H84" s="19"/>
      <c r="I84" s="22"/>
      <c r="J84" s="3"/>
      <c r="K84" s="3"/>
      <c r="L84" s="4"/>
      <c r="M84" s="4"/>
      <c r="N84" s="23"/>
      <c r="O84" s="23"/>
      <c r="P84" s="2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spans="1:33" s="14" customFormat="1" ht="15" customHeight="1">
      <c r="A85" s="8"/>
      <c r="B85" s="19"/>
      <c r="C85" s="20"/>
      <c r="D85" s="20"/>
      <c r="E85" s="21"/>
      <c r="F85" s="19"/>
      <c r="G85" s="19"/>
      <c r="H85" s="19"/>
      <c r="I85" s="22"/>
      <c r="J85" s="3"/>
      <c r="K85" s="3"/>
      <c r="L85" s="4"/>
      <c r="M85" s="4"/>
      <c r="N85" s="23"/>
      <c r="O85" s="23"/>
      <c r="P85" s="2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spans="1:33" s="14" customFormat="1" ht="15" customHeight="1">
      <c r="A86" s="8"/>
      <c r="B86" s="19"/>
      <c r="C86" s="20"/>
      <c r="D86" s="20"/>
      <c r="E86" s="21"/>
      <c r="F86" s="19"/>
      <c r="G86" s="19"/>
      <c r="H86" s="19"/>
      <c r="I86" s="22"/>
      <c r="J86" s="3"/>
      <c r="K86" s="3"/>
      <c r="L86" s="4"/>
      <c r="M86" s="4"/>
      <c r="N86" s="23"/>
      <c r="O86" s="23"/>
      <c r="P86" s="2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pans="1:33" s="14" customFormat="1" ht="15" customHeight="1">
      <c r="A87" s="8"/>
      <c r="B87" s="19"/>
      <c r="C87" s="20"/>
      <c r="D87" s="20"/>
      <c r="E87" s="21"/>
      <c r="F87" s="19"/>
      <c r="G87" s="19"/>
      <c r="H87" s="19"/>
      <c r="I87" s="22"/>
      <c r="J87" s="3"/>
      <c r="K87" s="3"/>
      <c r="L87" s="4"/>
      <c r="M87" s="4"/>
      <c r="N87" s="23"/>
      <c r="O87" s="23"/>
      <c r="P87" s="2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pans="1:33" s="14" customFormat="1" ht="15" customHeight="1">
      <c r="A88" s="8"/>
      <c r="B88" s="19"/>
      <c r="C88" s="20"/>
      <c r="D88" s="20"/>
      <c r="E88" s="21"/>
      <c r="F88" s="19"/>
      <c r="G88" s="19"/>
      <c r="H88" s="19"/>
      <c r="I88" s="22"/>
      <c r="J88" s="3"/>
      <c r="K88" s="3"/>
      <c r="L88" s="4"/>
      <c r="M88" s="4"/>
      <c r="N88" s="23"/>
      <c r="O88" s="23"/>
      <c r="P88" s="2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</row>
    <row r="89" spans="1:33" s="14" customFormat="1" ht="15" customHeight="1">
      <c r="A89" s="8"/>
      <c r="B89" s="19"/>
      <c r="C89" s="20"/>
      <c r="D89" s="20"/>
      <c r="E89" s="21"/>
      <c r="F89" s="19"/>
      <c r="G89" s="19"/>
      <c r="H89" s="19"/>
      <c r="I89" s="22"/>
      <c r="J89" s="3"/>
      <c r="K89" s="3"/>
      <c r="L89" s="4"/>
      <c r="M89" s="4"/>
      <c r="N89" s="23"/>
      <c r="O89" s="23"/>
      <c r="P89" s="2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  <row r="90" spans="1:33" s="14" customFormat="1" ht="15" customHeight="1">
      <c r="A90" s="8"/>
      <c r="B90" s="19"/>
      <c r="C90" s="20"/>
      <c r="D90" s="20"/>
      <c r="E90" s="21"/>
      <c r="F90" s="19"/>
      <c r="G90" s="19"/>
      <c r="H90" s="19"/>
      <c r="I90" s="22"/>
      <c r="J90" s="3"/>
      <c r="K90" s="3"/>
      <c r="L90" s="4"/>
      <c r="M90" s="4"/>
      <c r="N90" s="23"/>
      <c r="O90" s="23"/>
      <c r="P90" s="2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</row>
    <row r="91" spans="1:33" s="14" customFormat="1" ht="15" customHeight="1">
      <c r="A91" s="8"/>
      <c r="B91" s="19"/>
      <c r="C91" s="20"/>
      <c r="D91" s="20"/>
      <c r="E91" s="21"/>
      <c r="F91" s="19"/>
      <c r="G91" s="19"/>
      <c r="H91" s="19"/>
      <c r="I91" s="22"/>
      <c r="J91" s="3"/>
      <c r="K91" s="3"/>
      <c r="L91" s="4"/>
      <c r="M91" s="4"/>
      <c r="N91" s="23"/>
      <c r="O91" s="23"/>
      <c r="P91" s="2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spans="1:33" s="14" customFormat="1" ht="15" customHeight="1">
      <c r="A92" s="8"/>
      <c r="B92" s="19"/>
      <c r="C92" s="20"/>
      <c r="D92" s="20"/>
      <c r="E92" s="21"/>
      <c r="F92" s="19"/>
      <c r="G92" s="19"/>
      <c r="H92" s="19"/>
      <c r="I92" s="22"/>
      <c r="J92" s="3"/>
      <c r="K92" s="3"/>
      <c r="L92" s="4"/>
      <c r="M92" s="4"/>
      <c r="N92" s="23"/>
      <c r="O92" s="23"/>
      <c r="P92" s="2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pans="1:33" s="14" customFormat="1" ht="15" customHeight="1">
      <c r="A93" s="8"/>
      <c r="B93" s="19"/>
      <c r="C93" s="20"/>
      <c r="D93" s="20"/>
      <c r="E93" s="21"/>
      <c r="F93" s="19"/>
      <c r="G93" s="19"/>
      <c r="H93" s="19"/>
      <c r="I93" s="22"/>
      <c r="J93" s="3"/>
      <c r="K93" s="3"/>
      <c r="L93" s="4"/>
      <c r="M93" s="4"/>
      <c r="N93" s="23"/>
      <c r="O93" s="23"/>
      <c r="P93" s="2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pans="1:33" s="14" customFormat="1" ht="15" customHeight="1">
      <c r="A94" s="8"/>
      <c r="B94" s="19"/>
      <c r="C94" s="20"/>
      <c r="D94" s="20"/>
      <c r="E94" s="21"/>
      <c r="F94" s="19"/>
      <c r="G94" s="19"/>
      <c r="H94" s="19"/>
      <c r="I94" s="22"/>
      <c r="J94" s="3"/>
      <c r="K94" s="3"/>
      <c r="L94" s="4"/>
      <c r="M94" s="4"/>
      <c r="N94" s="23"/>
      <c r="O94" s="23"/>
      <c r="P94" s="2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</row>
    <row r="95" spans="1:33" s="14" customFormat="1" ht="15" customHeight="1">
      <c r="A95" s="8"/>
      <c r="B95" s="19"/>
      <c r="C95" s="20"/>
      <c r="D95" s="20"/>
      <c r="E95" s="21"/>
      <c r="F95" s="19"/>
      <c r="G95" s="19"/>
      <c r="H95" s="19"/>
      <c r="I95" s="22"/>
      <c r="J95" s="3"/>
      <c r="K95" s="3"/>
      <c r="L95" s="4"/>
      <c r="M95" s="4"/>
      <c r="N95" s="23"/>
      <c r="O95" s="23"/>
      <c r="P95" s="2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</row>
    <row r="96" spans="1:33" s="14" customFormat="1" ht="15" customHeight="1">
      <c r="A96" s="8"/>
      <c r="B96" s="19"/>
      <c r="C96" s="20"/>
      <c r="D96" s="20"/>
      <c r="E96" s="21"/>
      <c r="F96" s="19"/>
      <c r="G96" s="19"/>
      <c r="H96" s="19"/>
      <c r="I96" s="22"/>
      <c r="J96" s="3"/>
      <c r="K96" s="3"/>
      <c r="L96" s="4"/>
      <c r="M96" s="4"/>
      <c r="N96" s="23"/>
      <c r="O96" s="23"/>
      <c r="P96" s="2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1:33" s="14" customFormat="1" ht="15" customHeight="1">
      <c r="A97" s="8"/>
      <c r="B97" s="19"/>
      <c r="C97" s="20"/>
      <c r="D97" s="20"/>
      <c r="E97" s="21"/>
      <c r="F97" s="19"/>
      <c r="G97" s="19"/>
      <c r="H97" s="19"/>
      <c r="I97" s="22"/>
      <c r="J97" s="3"/>
      <c r="K97" s="3"/>
      <c r="L97" s="4"/>
      <c r="M97" s="4"/>
      <c r="N97" s="23"/>
      <c r="O97" s="23"/>
      <c r="P97" s="2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spans="1:33" s="14" customFormat="1" ht="15" customHeight="1">
      <c r="A98" s="8"/>
      <c r="B98" s="19"/>
      <c r="C98" s="20"/>
      <c r="D98" s="20"/>
      <c r="E98" s="21"/>
      <c r="F98" s="19"/>
      <c r="G98" s="19"/>
      <c r="H98" s="19"/>
      <c r="I98" s="22"/>
      <c r="J98" s="3"/>
      <c r="K98" s="3"/>
      <c r="L98" s="4"/>
      <c r="M98" s="4"/>
      <c r="N98" s="23"/>
      <c r="O98" s="23"/>
      <c r="P98" s="2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</row>
    <row r="99" spans="1:33" s="14" customFormat="1" ht="15" customHeight="1">
      <c r="A99" s="8"/>
      <c r="B99" s="19"/>
      <c r="C99" s="20"/>
      <c r="D99" s="20"/>
      <c r="E99" s="21"/>
      <c r="F99" s="19"/>
      <c r="G99" s="19"/>
      <c r="H99" s="19"/>
      <c r="I99" s="22"/>
      <c r="J99" s="3"/>
      <c r="K99" s="3"/>
      <c r="L99" s="4"/>
      <c r="M99" s="4"/>
      <c r="N99" s="23"/>
      <c r="O99" s="23"/>
      <c r="P99" s="2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</row>
    <row r="100" spans="1:33" s="14" customFormat="1" ht="15" customHeight="1">
      <c r="A100" s="8"/>
      <c r="B100" s="19"/>
      <c r="C100" s="20"/>
      <c r="D100" s="20"/>
      <c r="E100" s="21"/>
      <c r="F100" s="19"/>
      <c r="G100" s="19"/>
      <c r="H100" s="19"/>
      <c r="I100" s="22"/>
      <c r="J100" s="3"/>
      <c r="K100" s="3"/>
      <c r="L100" s="4"/>
      <c r="M100" s="4"/>
      <c r="N100" s="23"/>
      <c r="O100" s="23"/>
      <c r="P100" s="2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</row>
    <row r="101" spans="1:33" s="14" customFormat="1" ht="15" customHeight="1">
      <c r="A101" s="8"/>
      <c r="B101" s="19"/>
      <c r="C101" s="20"/>
      <c r="D101" s="20"/>
      <c r="E101" s="21"/>
      <c r="F101" s="19"/>
      <c r="G101" s="19"/>
      <c r="H101" s="19"/>
      <c r="I101" s="22"/>
      <c r="J101" s="3"/>
      <c r="K101" s="3"/>
      <c r="L101" s="4"/>
      <c r="M101" s="4"/>
      <c r="N101" s="23"/>
      <c r="O101" s="23"/>
      <c r="P101" s="2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</row>
    <row r="102" spans="1:33" s="14" customFormat="1" ht="15" customHeight="1">
      <c r="A102" s="8"/>
      <c r="B102" s="19"/>
      <c r="C102" s="20"/>
      <c r="D102" s="20"/>
      <c r="E102" s="21"/>
      <c r="F102" s="19"/>
      <c r="G102" s="19"/>
      <c r="H102" s="19"/>
      <c r="I102" s="22"/>
      <c r="J102" s="3"/>
      <c r="K102" s="3"/>
      <c r="L102" s="4"/>
      <c r="M102" s="4"/>
      <c r="N102" s="23"/>
      <c r="O102" s="23"/>
      <c r="P102" s="2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</row>
    <row r="103" spans="1:33" s="14" customFormat="1" ht="15" customHeight="1">
      <c r="A103" s="8"/>
      <c r="B103" s="19"/>
      <c r="C103" s="20"/>
      <c r="D103" s="20"/>
      <c r="E103" s="21"/>
      <c r="F103" s="19"/>
      <c r="G103" s="19"/>
      <c r="H103" s="19"/>
      <c r="I103" s="22"/>
      <c r="J103" s="3"/>
      <c r="K103" s="3"/>
      <c r="L103" s="4"/>
      <c r="M103" s="4"/>
      <c r="N103" s="23"/>
      <c r="O103" s="23"/>
      <c r="P103" s="2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33" s="14" customFormat="1" ht="15" customHeight="1">
      <c r="A104" s="8"/>
      <c r="B104" s="19"/>
      <c r="C104" s="20"/>
      <c r="D104" s="20"/>
      <c r="E104" s="21"/>
      <c r="F104" s="19"/>
      <c r="G104" s="19"/>
      <c r="H104" s="19"/>
      <c r="I104" s="22"/>
      <c r="J104" s="3"/>
      <c r="K104" s="3"/>
      <c r="L104" s="4"/>
      <c r="M104" s="4"/>
      <c r="N104" s="23"/>
      <c r="O104" s="23"/>
      <c r="P104" s="2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1:33" s="14" customFormat="1" ht="15" customHeight="1">
      <c r="A105" s="8"/>
      <c r="B105" s="19"/>
      <c r="C105" s="20"/>
      <c r="D105" s="20"/>
      <c r="E105" s="21"/>
      <c r="F105" s="19"/>
      <c r="G105" s="19"/>
      <c r="H105" s="19"/>
      <c r="I105" s="22"/>
      <c r="J105" s="3"/>
      <c r="K105" s="3"/>
      <c r="L105" s="4"/>
      <c r="M105" s="4"/>
      <c r="N105" s="23"/>
      <c r="O105" s="23"/>
      <c r="P105" s="2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:33" s="14" customFormat="1" ht="15" customHeight="1">
      <c r="A106" s="8"/>
      <c r="B106" s="19"/>
      <c r="C106" s="20"/>
      <c r="D106" s="20"/>
      <c r="E106" s="21"/>
      <c r="F106" s="19"/>
      <c r="G106" s="19"/>
      <c r="H106" s="19"/>
      <c r="I106" s="22"/>
      <c r="J106" s="3"/>
      <c r="K106" s="3"/>
      <c r="L106" s="4"/>
      <c r="M106" s="4"/>
      <c r="N106" s="23"/>
      <c r="O106" s="23"/>
      <c r="P106" s="2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</row>
    <row r="107" spans="1:33" s="14" customFormat="1" ht="15" customHeight="1">
      <c r="A107" s="8"/>
      <c r="B107" s="19"/>
      <c r="C107" s="20"/>
      <c r="D107" s="20"/>
      <c r="E107" s="21"/>
      <c r="F107" s="19"/>
      <c r="G107" s="19"/>
      <c r="H107" s="19"/>
      <c r="I107" s="22"/>
      <c r="J107" s="3"/>
      <c r="K107" s="3"/>
      <c r="L107" s="4"/>
      <c r="M107" s="4"/>
      <c r="N107" s="23"/>
      <c r="O107" s="23"/>
      <c r="P107" s="2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</row>
    <row r="108" spans="1:33" s="14" customFormat="1" ht="15" customHeight="1">
      <c r="A108" s="8"/>
      <c r="B108" s="19"/>
      <c r="C108" s="20"/>
      <c r="D108" s="20"/>
      <c r="E108" s="21"/>
      <c r="F108" s="19"/>
      <c r="G108" s="19"/>
      <c r="H108" s="19"/>
      <c r="I108" s="22"/>
      <c r="J108" s="3"/>
      <c r="K108" s="3"/>
      <c r="L108" s="4"/>
      <c r="M108" s="4"/>
      <c r="N108" s="23"/>
      <c r="O108" s="23"/>
      <c r="P108" s="2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1:33" s="14" customFormat="1" ht="15" customHeight="1">
      <c r="A109" s="8"/>
      <c r="B109" s="19"/>
      <c r="C109" s="20"/>
      <c r="D109" s="20"/>
      <c r="E109" s="21"/>
      <c r="F109" s="19"/>
      <c r="G109" s="19"/>
      <c r="H109" s="19"/>
      <c r="I109" s="22"/>
      <c r="J109" s="3"/>
      <c r="K109" s="3"/>
      <c r="L109" s="4"/>
      <c r="M109" s="4"/>
      <c r="N109" s="23"/>
      <c r="O109" s="23"/>
      <c r="P109" s="2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</row>
    <row r="110" spans="1:33" s="14" customFormat="1" ht="15" customHeight="1">
      <c r="A110" s="8"/>
      <c r="B110" s="19"/>
      <c r="C110" s="20"/>
      <c r="D110" s="20"/>
      <c r="E110" s="21"/>
      <c r="F110" s="19"/>
      <c r="G110" s="19"/>
      <c r="H110" s="19"/>
      <c r="I110" s="22"/>
      <c r="J110" s="3"/>
      <c r="K110" s="3"/>
      <c r="L110" s="4"/>
      <c r="M110" s="4"/>
      <c r="N110" s="23"/>
      <c r="O110" s="23"/>
      <c r="P110" s="2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</row>
    <row r="111" spans="1:33" s="14" customFormat="1" ht="15" customHeight="1">
      <c r="A111" s="8"/>
      <c r="B111" s="19"/>
      <c r="C111" s="20"/>
      <c r="D111" s="20"/>
      <c r="E111" s="21"/>
      <c r="F111" s="19"/>
      <c r="G111" s="19"/>
      <c r="H111" s="19"/>
      <c r="I111" s="22"/>
      <c r="J111" s="3"/>
      <c r="K111" s="3"/>
      <c r="L111" s="4"/>
      <c r="M111" s="4"/>
      <c r="N111" s="23"/>
      <c r="O111" s="23"/>
      <c r="P111" s="2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</row>
    <row r="112" spans="1:33" s="14" customFormat="1" ht="15" customHeight="1">
      <c r="A112" s="8"/>
      <c r="B112" s="19"/>
      <c r="C112" s="20"/>
      <c r="D112" s="20"/>
      <c r="E112" s="21"/>
      <c r="F112" s="19"/>
      <c r="G112" s="19"/>
      <c r="H112" s="19"/>
      <c r="I112" s="22"/>
      <c r="J112" s="3"/>
      <c r="K112" s="3"/>
      <c r="L112" s="4"/>
      <c r="M112" s="4"/>
      <c r="N112" s="23"/>
      <c r="O112" s="23"/>
      <c r="P112" s="2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</row>
    <row r="113" spans="1:33" s="14" customFormat="1" ht="15" customHeight="1">
      <c r="A113" s="8"/>
      <c r="B113" s="19"/>
      <c r="C113" s="20"/>
      <c r="D113" s="20"/>
      <c r="E113" s="21"/>
      <c r="F113" s="19"/>
      <c r="G113" s="19"/>
      <c r="H113" s="19"/>
      <c r="I113" s="22"/>
      <c r="J113" s="3"/>
      <c r="K113" s="3"/>
      <c r="L113" s="4"/>
      <c r="M113" s="4"/>
      <c r="N113" s="23"/>
      <c r="O113" s="23"/>
      <c r="P113" s="2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</row>
    <row r="114" spans="1:33" s="14" customFormat="1" ht="15" customHeight="1">
      <c r="A114" s="8"/>
      <c r="B114" s="19"/>
      <c r="C114" s="20"/>
      <c r="D114" s="20"/>
      <c r="E114" s="21"/>
      <c r="F114" s="19"/>
      <c r="G114" s="19"/>
      <c r="H114" s="19"/>
      <c r="I114" s="22"/>
      <c r="J114" s="3"/>
      <c r="K114" s="3"/>
      <c r="L114" s="4"/>
      <c r="M114" s="4"/>
      <c r="N114" s="23"/>
      <c r="O114" s="23"/>
      <c r="P114" s="2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</row>
    <row r="115" spans="1:33" s="14" customFormat="1" ht="15" customHeight="1">
      <c r="A115" s="8"/>
      <c r="B115" s="19"/>
      <c r="C115" s="20"/>
      <c r="D115" s="20"/>
      <c r="E115" s="21"/>
      <c r="F115" s="19"/>
      <c r="G115" s="19"/>
      <c r="H115" s="19"/>
      <c r="I115" s="22"/>
      <c r="J115" s="3"/>
      <c r="K115" s="3"/>
      <c r="L115" s="4"/>
      <c r="M115" s="4"/>
      <c r="N115" s="23"/>
      <c r="O115" s="23"/>
      <c r="P115" s="2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</row>
    <row r="116" spans="1:33" s="14" customFormat="1" ht="15" customHeight="1">
      <c r="A116" s="8"/>
      <c r="B116" s="19"/>
      <c r="C116" s="20"/>
      <c r="D116" s="20"/>
      <c r="E116" s="21"/>
      <c r="F116" s="19"/>
      <c r="G116" s="19"/>
      <c r="H116" s="19"/>
      <c r="I116" s="22"/>
      <c r="J116" s="3"/>
      <c r="K116" s="3"/>
      <c r="L116" s="4"/>
      <c r="M116" s="4"/>
      <c r="N116" s="23"/>
      <c r="O116" s="23"/>
      <c r="P116" s="2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</row>
    <row r="117" spans="1:33" s="14" customFormat="1" ht="15" customHeight="1">
      <c r="A117" s="8"/>
      <c r="B117" s="19"/>
      <c r="C117" s="20"/>
      <c r="D117" s="20"/>
      <c r="E117" s="21"/>
      <c r="F117" s="19"/>
      <c r="G117" s="19"/>
      <c r="H117" s="19"/>
      <c r="I117" s="22"/>
      <c r="J117" s="3"/>
      <c r="K117" s="3"/>
      <c r="L117" s="4"/>
      <c r="M117" s="4"/>
      <c r="N117" s="23"/>
      <c r="O117" s="23"/>
      <c r="P117" s="2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</row>
    <row r="118" spans="1:33" s="14" customFormat="1" ht="15" customHeight="1">
      <c r="A118" s="8"/>
      <c r="B118" s="19"/>
      <c r="C118" s="20"/>
      <c r="D118" s="20"/>
      <c r="E118" s="21"/>
      <c r="F118" s="19"/>
      <c r="G118" s="19"/>
      <c r="H118" s="19"/>
      <c r="I118" s="22"/>
      <c r="J118" s="3"/>
      <c r="K118" s="3"/>
      <c r="L118" s="4"/>
      <c r="M118" s="4"/>
      <c r="N118" s="23"/>
      <c r="O118" s="23"/>
      <c r="P118" s="2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</row>
    <row r="119" spans="1:33" s="14" customFormat="1" ht="15" customHeight="1">
      <c r="A119" s="8"/>
      <c r="B119" s="19"/>
      <c r="C119" s="20"/>
      <c r="D119" s="20"/>
      <c r="E119" s="21"/>
      <c r="F119" s="19"/>
      <c r="G119" s="19"/>
      <c r="H119" s="19"/>
      <c r="I119" s="22"/>
      <c r="J119" s="3"/>
      <c r="K119" s="3"/>
      <c r="L119" s="4"/>
      <c r="M119" s="4"/>
      <c r="N119" s="23"/>
      <c r="O119" s="23"/>
      <c r="P119" s="2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</row>
    <row r="120" spans="1:33" s="14" customFormat="1" ht="15" customHeight="1">
      <c r="A120" s="8"/>
      <c r="B120" s="6"/>
      <c r="C120" s="9"/>
      <c r="D120" s="9"/>
      <c r="E120" s="10"/>
      <c r="F120" s="6"/>
      <c r="G120" s="12"/>
      <c r="H120" s="12"/>
      <c r="I120" s="12"/>
      <c r="J120" s="3"/>
      <c r="K120" s="3"/>
      <c r="L120" s="4"/>
      <c r="M120" s="4"/>
      <c r="N120" s="23"/>
      <c r="O120" s="23"/>
      <c r="P120" s="2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</row>
    <row r="121" spans="1:33" s="14" customFormat="1" ht="15" customHeight="1">
      <c r="A121" s="8"/>
      <c r="B121" s="6"/>
      <c r="C121" s="9"/>
      <c r="D121" s="9"/>
      <c r="E121" s="10"/>
      <c r="F121" s="6"/>
      <c r="G121" s="12"/>
      <c r="H121" s="12"/>
      <c r="I121" s="12"/>
      <c r="J121" s="3"/>
      <c r="K121" s="3"/>
      <c r="L121" s="4"/>
      <c r="M121" s="4"/>
      <c r="N121" s="23"/>
      <c r="O121" s="23"/>
      <c r="P121" s="2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</row>
    <row r="122" spans="1:33" s="36" customFormat="1" ht="15" customHeight="1">
      <c r="A122" s="8"/>
      <c r="B122" s="6"/>
      <c r="C122" s="9"/>
      <c r="D122" s="9"/>
      <c r="E122" s="10"/>
      <c r="F122" s="6"/>
      <c r="G122" s="12"/>
      <c r="H122" s="12"/>
      <c r="I122" s="12"/>
      <c r="J122" s="3"/>
      <c r="K122" s="3"/>
      <c r="L122" s="4"/>
      <c r="M122" s="4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</row>
    <row r="123" spans="1:33" s="36" customFormat="1" ht="15" customHeight="1">
      <c r="A123" s="8"/>
      <c r="B123" s="6"/>
      <c r="C123" s="9"/>
      <c r="D123" s="9"/>
      <c r="E123" s="10"/>
      <c r="F123" s="6"/>
      <c r="G123" s="12"/>
      <c r="H123" s="12"/>
      <c r="I123" s="12"/>
      <c r="J123" s="3"/>
      <c r="K123" s="3"/>
      <c r="L123" s="4"/>
      <c r="M123" s="4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</row>
    <row r="124" spans="1:33" s="36" customFormat="1" ht="15" customHeight="1">
      <c r="A124" s="8"/>
      <c r="B124" s="6"/>
      <c r="C124" s="9"/>
      <c r="D124" s="9"/>
      <c r="E124" s="10"/>
      <c r="F124" s="6"/>
      <c r="G124" s="12"/>
      <c r="H124" s="12"/>
      <c r="I124" s="12"/>
      <c r="J124" s="3"/>
      <c r="K124" s="3"/>
      <c r="L124" s="4"/>
      <c r="M124" s="4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</row>
    <row r="125" spans="1:33" s="36" customFormat="1" ht="15" customHeight="1">
      <c r="A125" s="8"/>
      <c r="B125" s="6"/>
      <c r="C125" s="9"/>
      <c r="D125" s="9"/>
      <c r="E125" s="10"/>
      <c r="F125" s="6"/>
      <c r="G125" s="12"/>
      <c r="H125" s="12"/>
      <c r="I125" s="12"/>
      <c r="J125" s="3"/>
      <c r="K125" s="3"/>
      <c r="L125" s="4"/>
      <c r="M125" s="4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</row>
    <row r="126" spans="1:33" s="36" customFormat="1" ht="15" customHeight="1">
      <c r="A126" s="8"/>
      <c r="B126" s="6"/>
      <c r="C126" s="9"/>
      <c r="D126" s="9"/>
      <c r="E126" s="10"/>
      <c r="F126" s="6"/>
      <c r="G126" s="12"/>
      <c r="H126" s="12"/>
      <c r="I126" s="12"/>
      <c r="J126" s="3"/>
      <c r="K126" s="3"/>
      <c r="L126" s="4"/>
      <c r="M126" s="4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1:33" s="36" customFormat="1" ht="15" customHeight="1">
      <c r="A127" s="37"/>
      <c r="B127" s="20"/>
      <c r="C127" s="20"/>
      <c r="D127" s="20"/>
      <c r="E127" s="38"/>
      <c r="F127" s="20"/>
      <c r="G127" s="39"/>
      <c r="H127" s="39"/>
      <c r="I127" s="39"/>
      <c r="J127" s="39"/>
      <c r="K127" s="3"/>
      <c r="L127" s="39"/>
      <c r="M127" s="39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1:33" s="14" customFormat="1" ht="15" customHeight="1">
      <c r="A128" s="37"/>
      <c r="B128" s="20"/>
      <c r="C128" s="20"/>
      <c r="D128" s="20"/>
      <c r="E128" s="38"/>
      <c r="F128" s="20"/>
      <c r="G128" s="39"/>
      <c r="H128" s="39"/>
      <c r="I128" s="39"/>
      <c r="J128" s="39"/>
      <c r="K128" s="3"/>
      <c r="L128" s="4"/>
      <c r="M128" s="39"/>
      <c r="N128" s="23"/>
      <c r="O128" s="23"/>
      <c r="P128" s="2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</row>
    <row r="129" spans="1:33" s="14" customFormat="1" ht="15" customHeight="1">
      <c r="A129" s="8"/>
      <c r="B129" s="6"/>
      <c r="C129" s="9"/>
      <c r="D129" s="9"/>
      <c r="E129" s="10"/>
      <c r="F129" s="6"/>
      <c r="G129" s="12"/>
      <c r="H129" s="12"/>
      <c r="I129" s="12"/>
      <c r="J129" s="3"/>
      <c r="K129" s="3"/>
      <c r="L129" s="4"/>
      <c r="M129" s="4"/>
      <c r="N129" s="23"/>
      <c r="O129" s="23"/>
      <c r="P129" s="2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</row>
    <row r="130" spans="1:33" s="36" customFormat="1" ht="15" customHeight="1">
      <c r="A130" s="8"/>
      <c r="B130" s="6"/>
      <c r="C130" s="9"/>
      <c r="D130" s="9"/>
      <c r="E130" s="10"/>
      <c r="F130" s="6"/>
      <c r="G130" s="12"/>
      <c r="H130" s="12"/>
      <c r="I130" s="12"/>
      <c r="J130" s="3"/>
      <c r="K130" s="3"/>
      <c r="L130" s="4"/>
      <c r="M130" s="4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1:33" s="36" customFormat="1" ht="15" customHeight="1">
      <c r="A131" s="8"/>
      <c r="B131" s="6"/>
      <c r="C131" s="9"/>
      <c r="D131" s="9"/>
      <c r="E131" s="10"/>
      <c r="F131" s="6"/>
      <c r="G131" s="12"/>
      <c r="H131" s="12"/>
      <c r="I131" s="12"/>
      <c r="J131" s="3"/>
      <c r="K131" s="3"/>
      <c r="L131" s="4"/>
      <c r="M131" s="4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</row>
    <row r="132" spans="1:33" s="36" customFormat="1" ht="15" customHeight="1">
      <c r="A132" s="8"/>
      <c r="B132" s="6"/>
      <c r="C132" s="9"/>
      <c r="D132" s="9"/>
      <c r="E132" s="10"/>
      <c r="F132" s="6"/>
      <c r="G132" s="12"/>
      <c r="H132" s="12"/>
      <c r="I132" s="12"/>
      <c r="J132" s="3"/>
      <c r="K132" s="3"/>
      <c r="L132" s="4"/>
      <c r="M132" s="4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</row>
    <row r="133" spans="1:33" s="36" customFormat="1" ht="15" customHeight="1">
      <c r="A133" s="8"/>
      <c r="B133" s="6"/>
      <c r="C133" s="9"/>
      <c r="D133" s="9"/>
      <c r="E133" s="10"/>
      <c r="F133" s="6"/>
      <c r="G133" s="12"/>
      <c r="H133" s="12"/>
      <c r="I133" s="12"/>
      <c r="J133" s="3"/>
      <c r="K133" s="3"/>
      <c r="L133" s="4"/>
      <c r="M133" s="4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</row>
    <row r="134" spans="1:33" s="36" customFormat="1" ht="15" customHeight="1">
      <c r="A134" s="8"/>
      <c r="B134" s="6"/>
      <c r="C134" s="9"/>
      <c r="D134" s="9"/>
      <c r="E134" s="10"/>
      <c r="F134" s="6"/>
      <c r="G134" s="12"/>
      <c r="H134" s="12"/>
      <c r="I134" s="12"/>
      <c r="J134" s="3"/>
      <c r="K134" s="3"/>
      <c r="L134" s="4"/>
      <c r="M134" s="4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</row>
    <row r="135" spans="1:33" s="36" customFormat="1" ht="15" customHeight="1">
      <c r="A135" s="8"/>
      <c r="B135" s="6"/>
      <c r="C135" s="9"/>
      <c r="D135" s="9"/>
      <c r="E135" s="10"/>
      <c r="F135" s="6"/>
      <c r="G135" s="12"/>
      <c r="H135" s="12"/>
      <c r="I135" s="12"/>
      <c r="J135" s="3"/>
      <c r="K135" s="3"/>
      <c r="L135" s="4"/>
      <c r="M135" s="4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</row>
    <row r="136" spans="1:33" s="36" customFormat="1" ht="15" customHeight="1">
      <c r="A136" s="8"/>
      <c r="B136" s="6"/>
      <c r="C136" s="9"/>
      <c r="D136" s="9"/>
      <c r="E136" s="10"/>
      <c r="F136" s="6"/>
      <c r="G136" s="12"/>
      <c r="H136" s="12"/>
      <c r="I136" s="12"/>
      <c r="J136" s="3"/>
      <c r="K136" s="3"/>
      <c r="L136" s="4"/>
      <c r="M136" s="4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</row>
    <row r="137" spans="1:33" s="36" customFormat="1" ht="15" customHeight="1">
      <c r="A137" s="8"/>
      <c r="B137" s="6"/>
      <c r="C137" s="9"/>
      <c r="D137" s="9"/>
      <c r="E137" s="10"/>
      <c r="F137" s="6"/>
      <c r="G137" s="12"/>
      <c r="H137" s="12"/>
      <c r="I137" s="12"/>
      <c r="J137" s="3"/>
      <c r="K137" s="3"/>
      <c r="L137" s="4"/>
      <c r="M137" s="4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</row>
    <row r="138" spans="1:33" s="36" customFormat="1" ht="15" customHeight="1">
      <c r="A138" s="8"/>
      <c r="B138" s="6"/>
      <c r="C138" s="9"/>
      <c r="D138" s="9"/>
      <c r="E138" s="10"/>
      <c r="F138" s="6"/>
      <c r="G138" s="12"/>
      <c r="H138" s="12"/>
      <c r="I138" s="12"/>
      <c r="J138" s="3"/>
      <c r="K138" s="3"/>
      <c r="L138" s="4"/>
      <c r="M138" s="4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</row>
    <row r="139" spans="1:33" s="36" customFormat="1" ht="15" customHeight="1">
      <c r="A139" s="8"/>
      <c r="B139" s="6"/>
      <c r="C139" s="9"/>
      <c r="D139" s="9"/>
      <c r="E139" s="10"/>
      <c r="F139" s="6"/>
      <c r="G139" s="12"/>
      <c r="H139" s="12"/>
      <c r="I139" s="12"/>
      <c r="J139" s="3"/>
      <c r="K139" s="3"/>
      <c r="L139" s="4"/>
      <c r="M139" s="4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</row>
    <row r="140" spans="1:33" s="36" customFormat="1" ht="15" customHeight="1">
      <c r="A140" s="8"/>
      <c r="B140" s="6"/>
      <c r="C140" s="9"/>
      <c r="D140" s="9"/>
      <c r="E140" s="10"/>
      <c r="F140" s="6"/>
      <c r="G140" s="12"/>
      <c r="H140" s="12"/>
      <c r="I140" s="12"/>
      <c r="J140" s="3"/>
      <c r="K140" s="3"/>
      <c r="L140" s="4"/>
      <c r="M140" s="4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</row>
    <row r="141" spans="1:33" s="36" customFormat="1" ht="15" customHeight="1">
      <c r="A141" s="8"/>
      <c r="B141" s="6"/>
      <c r="C141" s="9"/>
      <c r="D141" s="9"/>
      <c r="E141" s="10"/>
      <c r="F141" s="6"/>
      <c r="G141" s="12"/>
      <c r="H141" s="12"/>
      <c r="I141" s="12"/>
      <c r="J141" s="3"/>
      <c r="K141" s="3"/>
      <c r="L141" s="4"/>
      <c r="M141" s="4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</row>
    <row r="142" spans="1:33" s="36" customFormat="1" ht="15" customHeight="1">
      <c r="A142" s="8"/>
      <c r="B142" s="6"/>
      <c r="C142" s="9"/>
      <c r="D142" s="9"/>
      <c r="E142" s="10"/>
      <c r="F142" s="6"/>
      <c r="G142" s="12"/>
      <c r="H142" s="12"/>
      <c r="I142" s="12"/>
      <c r="J142" s="3"/>
      <c r="K142" s="3"/>
      <c r="L142" s="4"/>
      <c r="M142" s="4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</row>
    <row r="143" spans="1:33" s="36" customFormat="1" ht="15" customHeight="1">
      <c r="A143" s="8"/>
      <c r="B143" s="6"/>
      <c r="C143" s="9"/>
      <c r="D143" s="9"/>
      <c r="E143" s="10"/>
      <c r="F143" s="6"/>
      <c r="G143" s="12"/>
      <c r="H143" s="12"/>
      <c r="I143" s="12"/>
      <c r="J143" s="3"/>
      <c r="K143" s="3"/>
      <c r="L143" s="4"/>
      <c r="M143" s="4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</row>
    <row r="144" spans="1:33" s="36" customFormat="1" ht="15" customHeight="1">
      <c r="A144" s="8"/>
      <c r="B144" s="6"/>
      <c r="C144" s="9"/>
      <c r="D144" s="9"/>
      <c r="E144" s="10"/>
      <c r="F144" s="6"/>
      <c r="G144" s="12"/>
      <c r="H144" s="12"/>
      <c r="I144" s="12"/>
      <c r="J144" s="3"/>
      <c r="K144" s="3"/>
      <c r="L144" s="4"/>
      <c r="M144" s="4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</row>
    <row r="145" spans="1:33" s="36" customFormat="1" ht="15" customHeight="1">
      <c r="A145" s="8"/>
      <c r="B145" s="6"/>
      <c r="C145" s="9"/>
      <c r="D145" s="9"/>
      <c r="E145" s="10"/>
      <c r="F145" s="6"/>
      <c r="G145" s="12"/>
      <c r="H145" s="12"/>
      <c r="I145" s="12"/>
      <c r="J145" s="3"/>
      <c r="K145" s="3"/>
      <c r="L145" s="4"/>
      <c r="M145" s="4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</row>
    <row r="146" spans="1:33" s="36" customFormat="1" ht="15" customHeight="1">
      <c r="A146" s="8"/>
      <c r="B146" s="6"/>
      <c r="C146" s="9"/>
      <c r="D146" s="9"/>
      <c r="E146" s="10"/>
      <c r="F146" s="6"/>
      <c r="G146" s="12"/>
      <c r="H146" s="12"/>
      <c r="I146" s="12"/>
      <c r="J146" s="3"/>
      <c r="K146" s="3"/>
      <c r="L146" s="4"/>
      <c r="M146" s="4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</row>
    <row r="147" spans="1:33" s="36" customFormat="1" ht="15" customHeight="1">
      <c r="A147" s="8"/>
      <c r="B147" s="6"/>
      <c r="C147" s="9"/>
      <c r="D147" s="9"/>
      <c r="E147" s="10"/>
      <c r="F147" s="6"/>
      <c r="G147" s="12"/>
      <c r="H147" s="12"/>
      <c r="I147" s="12"/>
      <c r="J147" s="3"/>
      <c r="K147" s="3"/>
      <c r="L147" s="4"/>
      <c r="M147" s="4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</row>
    <row r="148" spans="1:33" s="36" customFormat="1" ht="15" customHeight="1">
      <c r="A148" s="8"/>
      <c r="B148" s="6"/>
      <c r="C148" s="9"/>
      <c r="D148" s="9"/>
      <c r="E148" s="10"/>
      <c r="F148" s="6"/>
      <c r="G148" s="12"/>
      <c r="H148" s="12"/>
      <c r="I148" s="12"/>
      <c r="J148" s="3"/>
      <c r="K148" s="3"/>
      <c r="L148" s="4"/>
      <c r="M148" s="4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</row>
    <row r="149" spans="1:33" s="36" customFormat="1" ht="15" customHeight="1">
      <c r="A149" s="8"/>
      <c r="B149" s="6"/>
      <c r="C149" s="9"/>
      <c r="D149" s="9"/>
      <c r="E149" s="10"/>
      <c r="F149" s="6"/>
      <c r="G149" s="12"/>
      <c r="H149" s="12"/>
      <c r="I149" s="12"/>
      <c r="J149" s="3"/>
      <c r="K149" s="3"/>
      <c r="L149" s="4"/>
      <c r="M149" s="4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</row>
    <row r="150" spans="1:33" s="36" customFormat="1" ht="15" customHeight="1">
      <c r="A150" s="8"/>
      <c r="B150" s="6"/>
      <c r="C150" s="9"/>
      <c r="D150" s="9"/>
      <c r="E150" s="10"/>
      <c r="F150" s="6"/>
      <c r="G150" s="12"/>
      <c r="H150" s="12"/>
      <c r="I150" s="12"/>
      <c r="J150" s="3"/>
      <c r="K150" s="3"/>
      <c r="L150" s="4"/>
      <c r="M150" s="4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</row>
    <row r="151" spans="1:33" s="36" customFormat="1" ht="15" customHeight="1">
      <c r="A151" s="8"/>
      <c r="B151" s="6"/>
      <c r="C151" s="9"/>
      <c r="D151" s="9"/>
      <c r="E151" s="10"/>
      <c r="F151" s="6"/>
      <c r="G151" s="12"/>
      <c r="H151" s="12"/>
      <c r="I151" s="12"/>
      <c r="J151" s="3"/>
      <c r="K151" s="3"/>
      <c r="L151" s="4"/>
      <c r="M151" s="4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</row>
    <row r="152" spans="1:33" s="36" customFormat="1" ht="15" customHeight="1">
      <c r="A152" s="8"/>
      <c r="B152" s="6"/>
      <c r="C152" s="9"/>
      <c r="D152" s="9"/>
      <c r="E152" s="10"/>
      <c r="F152" s="6"/>
      <c r="G152" s="12"/>
      <c r="H152" s="12"/>
      <c r="I152" s="12"/>
      <c r="J152" s="3"/>
      <c r="K152" s="3"/>
      <c r="L152" s="4"/>
      <c r="M152" s="4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</row>
    <row r="153" spans="1:33" s="36" customFormat="1" ht="15" customHeight="1">
      <c r="A153" s="8"/>
      <c r="B153" s="6"/>
      <c r="C153" s="9"/>
      <c r="D153" s="9"/>
      <c r="E153" s="10"/>
      <c r="F153" s="6"/>
      <c r="G153" s="12"/>
      <c r="H153" s="12"/>
      <c r="I153" s="12"/>
      <c r="J153" s="3"/>
      <c r="K153" s="3"/>
      <c r="L153" s="4"/>
      <c r="M153" s="4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</row>
    <row r="154" spans="1:33" s="36" customFormat="1" ht="15" customHeight="1">
      <c r="A154" s="8"/>
      <c r="B154" s="6"/>
      <c r="C154" s="9"/>
      <c r="D154" s="9"/>
      <c r="E154" s="10"/>
      <c r="F154" s="6"/>
      <c r="G154" s="12"/>
      <c r="H154" s="12"/>
      <c r="I154" s="12"/>
      <c r="J154" s="3"/>
      <c r="K154" s="3"/>
      <c r="L154" s="4"/>
      <c r="M154" s="4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</row>
    <row r="155" spans="1:33" s="36" customFormat="1" ht="15" customHeight="1">
      <c r="A155" s="8"/>
      <c r="B155" s="6"/>
      <c r="C155" s="9"/>
      <c r="D155" s="9"/>
      <c r="E155" s="10"/>
      <c r="F155" s="6"/>
      <c r="G155" s="12"/>
      <c r="H155" s="12"/>
      <c r="I155" s="12"/>
      <c r="J155" s="3"/>
      <c r="K155" s="3"/>
      <c r="L155" s="4"/>
      <c r="M155" s="4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</row>
    <row r="156" spans="1:33" s="36" customFormat="1" ht="15" customHeight="1">
      <c r="A156" s="8"/>
      <c r="B156" s="6"/>
      <c r="C156" s="9"/>
      <c r="D156" s="9"/>
      <c r="E156" s="10"/>
      <c r="F156" s="6"/>
      <c r="G156" s="12"/>
      <c r="H156" s="12"/>
      <c r="I156" s="12"/>
      <c r="J156" s="3"/>
      <c r="K156" s="3"/>
      <c r="L156" s="4"/>
      <c r="M156" s="4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</row>
    <row r="157" spans="1:33" s="36" customFormat="1" ht="15" customHeight="1">
      <c r="A157" s="8"/>
      <c r="B157" s="6"/>
      <c r="C157" s="9"/>
      <c r="D157" s="9"/>
      <c r="E157" s="10"/>
      <c r="F157" s="6"/>
      <c r="G157" s="12"/>
      <c r="H157" s="12"/>
      <c r="I157" s="12"/>
      <c r="J157" s="3"/>
      <c r="K157" s="3"/>
      <c r="L157" s="4"/>
      <c r="M157" s="4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</row>
    <row r="158" spans="1:33" s="36" customFormat="1" ht="15" customHeight="1">
      <c r="A158" s="8"/>
      <c r="B158" s="6"/>
      <c r="C158" s="9"/>
      <c r="D158" s="9"/>
      <c r="E158" s="10"/>
      <c r="F158" s="6"/>
      <c r="G158" s="12"/>
      <c r="H158" s="12"/>
      <c r="I158" s="12"/>
      <c r="J158" s="3"/>
      <c r="K158" s="3"/>
      <c r="L158" s="4"/>
      <c r="M158" s="4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</row>
    <row r="159" spans="1:33" s="36" customFormat="1" ht="15" customHeight="1">
      <c r="A159" s="8"/>
      <c r="B159" s="6"/>
      <c r="C159" s="9"/>
      <c r="D159" s="9"/>
      <c r="E159" s="10"/>
      <c r="F159" s="6"/>
      <c r="G159" s="12"/>
      <c r="H159" s="12"/>
      <c r="I159" s="12"/>
      <c r="J159" s="3"/>
      <c r="K159" s="3"/>
      <c r="L159" s="4"/>
      <c r="M159" s="4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</row>
    <row r="160" spans="1:33" s="36" customFormat="1" ht="15" customHeight="1">
      <c r="A160" s="8"/>
      <c r="B160" s="6"/>
      <c r="C160" s="9"/>
      <c r="D160" s="9"/>
      <c r="E160" s="10"/>
      <c r="F160" s="6"/>
      <c r="G160" s="12"/>
      <c r="H160" s="12"/>
      <c r="I160" s="12"/>
      <c r="J160" s="3"/>
      <c r="K160" s="3"/>
      <c r="L160" s="4"/>
      <c r="M160" s="4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</row>
    <row r="161" spans="1:33" s="36" customFormat="1" ht="15" customHeight="1">
      <c r="A161" s="8"/>
      <c r="B161" s="6"/>
      <c r="C161" s="9"/>
      <c r="D161" s="9"/>
      <c r="E161" s="10"/>
      <c r="F161" s="6"/>
      <c r="G161" s="12"/>
      <c r="H161" s="12"/>
      <c r="I161" s="12"/>
      <c r="J161" s="3"/>
      <c r="K161" s="3"/>
      <c r="L161" s="4"/>
      <c r="M161" s="4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</row>
    <row r="162" spans="1:33" s="36" customFormat="1" ht="15" customHeight="1">
      <c r="A162" s="8"/>
      <c r="B162" s="6"/>
      <c r="C162" s="9"/>
      <c r="D162" s="9"/>
      <c r="E162" s="10"/>
      <c r="F162" s="6"/>
      <c r="G162" s="12"/>
      <c r="H162" s="12"/>
      <c r="I162" s="12"/>
      <c r="J162" s="3"/>
      <c r="K162" s="3"/>
      <c r="L162" s="4"/>
      <c r="M162" s="4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</row>
    <row r="163" spans="1:33" s="36" customFormat="1" ht="15" customHeight="1">
      <c r="A163" s="8"/>
      <c r="B163" s="6"/>
      <c r="C163" s="9"/>
      <c r="D163" s="9"/>
      <c r="E163" s="10"/>
      <c r="F163" s="6"/>
      <c r="G163" s="12"/>
      <c r="H163" s="12"/>
      <c r="I163" s="12"/>
      <c r="J163" s="3"/>
      <c r="K163" s="3"/>
      <c r="L163" s="4"/>
      <c r="M163" s="4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</row>
    <row r="164" spans="1:33" s="36" customFormat="1" ht="15" customHeight="1">
      <c r="A164" s="8"/>
      <c r="B164" s="6"/>
      <c r="C164" s="9"/>
      <c r="D164" s="9"/>
      <c r="E164" s="10"/>
      <c r="F164" s="6"/>
      <c r="G164" s="12"/>
      <c r="H164" s="12"/>
      <c r="I164" s="12"/>
      <c r="J164" s="3"/>
      <c r="K164" s="3"/>
      <c r="L164" s="4"/>
      <c r="M164" s="4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</row>
    <row r="165" spans="1:33" s="36" customFormat="1" ht="15" customHeight="1">
      <c r="A165" s="8"/>
      <c r="B165" s="6"/>
      <c r="C165" s="9"/>
      <c r="D165" s="9"/>
      <c r="E165" s="10"/>
      <c r="F165" s="6"/>
      <c r="G165" s="12"/>
      <c r="H165" s="12"/>
      <c r="I165" s="12"/>
      <c r="J165" s="3"/>
      <c r="K165" s="3"/>
      <c r="L165" s="4"/>
      <c r="M165" s="4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</row>
    <row r="166" spans="1:33" s="36" customFormat="1" ht="15" customHeight="1">
      <c r="A166" s="8"/>
      <c r="B166" s="6"/>
      <c r="C166" s="9"/>
      <c r="D166" s="9"/>
      <c r="E166" s="10"/>
      <c r="F166" s="6"/>
      <c r="G166" s="12"/>
      <c r="H166" s="12"/>
      <c r="I166" s="12"/>
      <c r="J166" s="3"/>
      <c r="K166" s="3"/>
      <c r="L166" s="4"/>
      <c r="M166" s="4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</row>
    <row r="167" spans="1:33" s="36" customFormat="1" ht="15" customHeight="1">
      <c r="A167" s="8"/>
      <c r="B167" s="6"/>
      <c r="C167" s="9"/>
      <c r="D167" s="9"/>
      <c r="E167" s="10"/>
      <c r="F167" s="6"/>
      <c r="G167" s="12"/>
      <c r="H167" s="12"/>
      <c r="I167" s="12"/>
      <c r="J167" s="3"/>
      <c r="K167" s="3"/>
      <c r="L167" s="4"/>
      <c r="M167" s="4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</row>
    <row r="168" spans="1:33" s="36" customFormat="1" ht="15" customHeight="1">
      <c r="A168" s="8"/>
      <c r="B168" s="6"/>
      <c r="C168" s="9"/>
      <c r="D168" s="9"/>
      <c r="E168" s="10"/>
      <c r="F168" s="6"/>
      <c r="G168" s="12"/>
      <c r="H168" s="12"/>
      <c r="I168" s="12"/>
      <c r="J168" s="3"/>
      <c r="K168" s="3"/>
      <c r="L168" s="4"/>
      <c r="M168" s="4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</row>
    <row r="169" spans="1:33" s="36" customFormat="1" ht="15" customHeight="1">
      <c r="A169" s="8"/>
      <c r="B169" s="6"/>
      <c r="C169" s="9"/>
      <c r="D169" s="9"/>
      <c r="E169" s="10"/>
      <c r="F169" s="6"/>
      <c r="G169" s="12"/>
      <c r="H169" s="12"/>
      <c r="I169" s="12"/>
      <c r="J169" s="3"/>
      <c r="K169" s="3"/>
      <c r="L169" s="4"/>
      <c r="M169" s="4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</row>
    <row r="170" spans="1:33" s="36" customFormat="1" ht="15" customHeight="1">
      <c r="A170" s="8"/>
      <c r="B170" s="6"/>
      <c r="C170" s="9"/>
      <c r="D170" s="9"/>
      <c r="E170" s="10"/>
      <c r="F170" s="6"/>
      <c r="G170" s="12"/>
      <c r="H170" s="12"/>
      <c r="I170" s="12"/>
      <c r="J170" s="3"/>
      <c r="K170" s="3"/>
      <c r="L170" s="4"/>
      <c r="M170" s="4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</row>
    <row r="171" spans="1:33" s="36" customFormat="1" ht="15" customHeight="1">
      <c r="A171" s="8"/>
      <c r="B171" s="6"/>
      <c r="C171" s="9"/>
      <c r="D171" s="9"/>
      <c r="E171" s="10"/>
      <c r="F171" s="6"/>
      <c r="G171" s="12"/>
      <c r="H171" s="12"/>
      <c r="I171" s="12"/>
      <c r="J171" s="3"/>
      <c r="K171" s="3"/>
      <c r="L171" s="4"/>
      <c r="M171" s="4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</row>
    <row r="172" spans="1:33" s="36" customFormat="1" ht="15" customHeight="1">
      <c r="A172" s="8"/>
      <c r="B172" s="6"/>
      <c r="C172" s="9"/>
      <c r="D172" s="9"/>
      <c r="E172" s="10"/>
      <c r="F172" s="6"/>
      <c r="G172" s="12"/>
      <c r="H172" s="12"/>
      <c r="I172" s="12"/>
      <c r="J172" s="3"/>
      <c r="K172" s="3"/>
      <c r="L172" s="4"/>
      <c r="M172" s="4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</row>
    <row r="173" spans="1:33" s="36" customFormat="1" ht="15" customHeight="1">
      <c r="A173" s="8"/>
      <c r="B173" s="6"/>
      <c r="C173" s="9"/>
      <c r="D173" s="9"/>
      <c r="E173" s="10"/>
      <c r="F173" s="6"/>
      <c r="G173" s="12"/>
      <c r="H173" s="12"/>
      <c r="I173" s="12"/>
      <c r="J173" s="3"/>
      <c r="K173" s="3"/>
      <c r="L173" s="4"/>
      <c r="M173" s="4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</row>
    <row r="174" spans="1:33" s="36" customFormat="1" ht="15" customHeight="1">
      <c r="A174" s="8"/>
      <c r="B174" s="6"/>
      <c r="C174" s="9"/>
      <c r="D174" s="9"/>
      <c r="E174" s="10"/>
      <c r="F174" s="6"/>
      <c r="G174" s="12"/>
      <c r="H174" s="12"/>
      <c r="I174" s="12"/>
      <c r="J174" s="3"/>
      <c r="K174" s="3"/>
      <c r="L174" s="4"/>
      <c r="M174" s="4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</row>
    <row r="175" spans="1:33" s="36" customFormat="1" ht="15" customHeight="1">
      <c r="A175" s="8"/>
      <c r="B175" s="6"/>
      <c r="C175" s="9"/>
      <c r="D175" s="9"/>
      <c r="E175" s="10"/>
      <c r="F175" s="6"/>
      <c r="G175" s="12"/>
      <c r="H175" s="12"/>
      <c r="I175" s="12"/>
      <c r="J175" s="3"/>
      <c r="K175" s="3"/>
      <c r="L175" s="4"/>
      <c r="M175" s="4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</row>
    <row r="176" spans="1:33" s="36" customFormat="1" ht="15" customHeight="1">
      <c r="A176" s="8"/>
      <c r="B176" s="6"/>
      <c r="C176" s="9"/>
      <c r="D176" s="9"/>
      <c r="E176" s="10"/>
      <c r="F176" s="6"/>
      <c r="G176" s="12"/>
      <c r="H176" s="12"/>
      <c r="I176" s="12"/>
      <c r="J176" s="3"/>
      <c r="K176" s="3"/>
      <c r="L176" s="4"/>
      <c r="M176" s="4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</row>
    <row r="177" spans="1:33" s="36" customFormat="1" ht="15" customHeight="1">
      <c r="A177" s="8"/>
      <c r="B177" s="6"/>
      <c r="C177" s="9"/>
      <c r="D177" s="9"/>
      <c r="E177" s="10"/>
      <c r="F177" s="6"/>
      <c r="G177" s="6"/>
      <c r="H177" s="6"/>
      <c r="I177" s="12"/>
      <c r="J177" s="3"/>
      <c r="K177" s="3"/>
      <c r="L177" s="4"/>
      <c r="M177" s="4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</row>
    <row r="178" spans="1:33" s="36" customFormat="1" ht="15" customHeight="1">
      <c r="A178" s="8"/>
      <c r="B178" s="6"/>
      <c r="C178" s="9"/>
      <c r="D178" s="9"/>
      <c r="E178" s="10"/>
      <c r="F178" s="6"/>
      <c r="G178" s="6"/>
      <c r="H178" s="6"/>
      <c r="I178" s="12"/>
      <c r="J178" s="3"/>
      <c r="K178" s="3"/>
      <c r="L178" s="4"/>
      <c r="M178" s="4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</row>
    <row r="179" spans="1:33" s="36" customFormat="1" ht="15" customHeight="1">
      <c r="A179" s="8"/>
      <c r="B179" s="6"/>
      <c r="C179" s="9"/>
      <c r="D179" s="9"/>
      <c r="E179" s="10"/>
      <c r="F179" s="6"/>
      <c r="G179" s="6"/>
      <c r="H179" s="6"/>
      <c r="I179" s="12"/>
      <c r="J179" s="3"/>
      <c r="K179" s="3"/>
      <c r="L179" s="4"/>
      <c r="M179" s="4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</row>
    <row r="180" spans="1:33" s="36" customFormat="1" ht="15" customHeight="1">
      <c r="A180" s="8"/>
      <c r="B180" s="6"/>
      <c r="C180" s="9"/>
      <c r="D180" s="9"/>
      <c r="E180" s="10"/>
      <c r="F180" s="6"/>
      <c r="G180" s="6"/>
      <c r="H180" s="6"/>
      <c r="I180" s="12"/>
      <c r="J180" s="3"/>
      <c r="K180" s="3"/>
      <c r="L180" s="4"/>
      <c r="M180" s="4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</row>
    <row r="181" spans="1:33" s="36" customFormat="1" ht="15" customHeight="1">
      <c r="A181" s="8"/>
      <c r="B181" s="6"/>
      <c r="C181" s="9"/>
      <c r="D181" s="9"/>
      <c r="E181" s="10"/>
      <c r="F181" s="6"/>
      <c r="G181" s="6"/>
      <c r="H181" s="6"/>
      <c r="I181" s="12"/>
      <c r="J181" s="3"/>
      <c r="K181" s="3"/>
      <c r="L181" s="4"/>
      <c r="M181" s="4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</row>
    <row r="182" spans="1:33" s="36" customFormat="1" ht="15" customHeight="1">
      <c r="A182" s="8"/>
      <c r="B182" s="6"/>
      <c r="C182" s="9"/>
      <c r="D182" s="9"/>
      <c r="E182" s="10"/>
      <c r="F182" s="6"/>
      <c r="G182" s="6"/>
      <c r="H182" s="6"/>
      <c r="I182" s="12"/>
      <c r="J182" s="3"/>
      <c r="K182" s="3"/>
      <c r="L182" s="4"/>
      <c r="M182" s="4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</row>
    <row r="183" spans="1:33" s="36" customFormat="1" ht="15" customHeight="1">
      <c r="A183" s="8"/>
      <c r="B183" s="6"/>
      <c r="C183" s="9"/>
      <c r="D183" s="9"/>
      <c r="E183" s="10"/>
      <c r="F183" s="6"/>
      <c r="G183" s="6"/>
      <c r="H183" s="6"/>
      <c r="I183" s="12"/>
      <c r="J183" s="3"/>
      <c r="K183" s="3"/>
      <c r="L183" s="4"/>
      <c r="M183" s="4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</row>
    <row r="184" spans="1:33" s="36" customFormat="1" ht="15" customHeight="1">
      <c r="A184" s="8"/>
      <c r="B184" s="6"/>
      <c r="C184" s="9"/>
      <c r="D184" s="9"/>
      <c r="E184" s="10"/>
      <c r="F184" s="6"/>
      <c r="G184" s="6"/>
      <c r="H184" s="6"/>
      <c r="I184" s="12"/>
      <c r="J184" s="3"/>
      <c r="K184" s="3"/>
      <c r="L184" s="4"/>
      <c r="M184" s="4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</row>
    <row r="185" spans="1:33" s="36" customFormat="1" ht="15" customHeight="1">
      <c r="A185" s="8"/>
      <c r="B185" s="6"/>
      <c r="C185" s="9"/>
      <c r="D185" s="9"/>
      <c r="E185" s="10"/>
      <c r="F185" s="6"/>
      <c r="G185" s="6"/>
      <c r="H185" s="6"/>
      <c r="I185" s="12"/>
      <c r="J185" s="3"/>
      <c r="K185" s="3"/>
      <c r="L185" s="4"/>
      <c r="M185" s="4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</row>
    <row r="186" spans="1:33" s="36" customFormat="1" ht="15" customHeight="1">
      <c r="A186" s="8"/>
      <c r="B186" s="6"/>
      <c r="C186" s="9"/>
      <c r="D186" s="9"/>
      <c r="E186" s="10"/>
      <c r="F186" s="6"/>
      <c r="G186" s="6"/>
      <c r="H186" s="6"/>
      <c r="I186" s="12"/>
      <c r="J186" s="3"/>
      <c r="K186" s="3"/>
      <c r="L186" s="4"/>
      <c r="M186" s="4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</row>
    <row r="187" spans="1:33" s="36" customFormat="1" ht="15" customHeight="1">
      <c r="A187" s="8"/>
      <c r="B187" s="6"/>
      <c r="C187" s="9"/>
      <c r="D187" s="9"/>
      <c r="E187" s="10"/>
      <c r="F187" s="6"/>
      <c r="G187" s="6"/>
      <c r="H187" s="6"/>
      <c r="I187" s="12"/>
      <c r="J187" s="3"/>
      <c r="K187" s="3"/>
      <c r="L187" s="4"/>
      <c r="M187" s="4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</row>
    <row r="188" spans="1:33" s="36" customFormat="1" ht="15" customHeight="1">
      <c r="A188" s="8"/>
      <c r="B188" s="6"/>
      <c r="C188" s="9"/>
      <c r="D188" s="9"/>
      <c r="E188" s="10"/>
      <c r="F188" s="6"/>
      <c r="G188" s="6"/>
      <c r="H188" s="6"/>
      <c r="I188" s="12"/>
      <c r="J188" s="3"/>
      <c r="K188" s="3"/>
      <c r="L188" s="4"/>
      <c r="M188" s="4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</row>
    <row r="189" spans="1:33" s="36" customFormat="1" ht="15" customHeight="1">
      <c r="A189" s="8"/>
      <c r="B189" s="6"/>
      <c r="C189" s="9"/>
      <c r="D189" s="9"/>
      <c r="E189" s="10"/>
      <c r="F189" s="6"/>
      <c r="G189" s="6"/>
      <c r="H189" s="6"/>
      <c r="I189" s="12"/>
      <c r="J189" s="3"/>
      <c r="K189" s="3"/>
      <c r="L189" s="4"/>
      <c r="M189" s="4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</row>
    <row r="190" spans="1:33" s="36" customFormat="1" ht="15" customHeight="1">
      <c r="A190" s="8"/>
      <c r="B190" s="6"/>
      <c r="C190" s="9"/>
      <c r="D190" s="9"/>
      <c r="E190" s="10"/>
      <c r="F190" s="6"/>
      <c r="G190" s="6"/>
      <c r="H190" s="6"/>
      <c r="I190" s="12"/>
      <c r="J190" s="3"/>
      <c r="K190" s="3"/>
      <c r="L190" s="4"/>
      <c r="M190" s="4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</row>
    <row r="191" spans="1:33" s="36" customFormat="1" ht="15" customHeight="1">
      <c r="A191" s="8"/>
      <c r="B191" s="6"/>
      <c r="C191" s="9"/>
      <c r="D191" s="9"/>
      <c r="E191" s="10"/>
      <c r="F191" s="6"/>
      <c r="G191" s="6"/>
      <c r="H191" s="6"/>
      <c r="I191" s="12"/>
      <c r="J191" s="3"/>
      <c r="K191" s="3"/>
      <c r="L191" s="4"/>
      <c r="M191" s="4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</row>
    <row r="192" spans="1:33" s="36" customFormat="1" ht="15" customHeight="1">
      <c r="A192" s="8"/>
      <c r="B192" s="6"/>
      <c r="C192" s="9"/>
      <c r="D192" s="9"/>
      <c r="E192" s="10"/>
      <c r="F192" s="6"/>
      <c r="G192" s="6"/>
      <c r="H192" s="6"/>
      <c r="I192" s="12"/>
      <c r="J192" s="3"/>
      <c r="K192" s="3"/>
      <c r="L192" s="4"/>
      <c r="M192" s="4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</row>
    <row r="193" spans="1:33" s="36" customFormat="1" ht="15" customHeight="1">
      <c r="A193" s="8"/>
      <c r="B193" s="6"/>
      <c r="C193" s="9"/>
      <c r="D193" s="9"/>
      <c r="E193" s="10"/>
      <c r="F193" s="6"/>
      <c r="G193" s="6"/>
      <c r="H193" s="6"/>
      <c r="I193" s="12"/>
      <c r="J193" s="3"/>
      <c r="K193" s="3"/>
      <c r="L193" s="4"/>
      <c r="M193" s="4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</row>
    <row r="194" spans="1:33" s="36" customFormat="1" ht="15" customHeight="1">
      <c r="A194" s="8"/>
      <c r="B194" s="6"/>
      <c r="C194" s="9"/>
      <c r="D194" s="9"/>
      <c r="E194" s="10"/>
      <c r="F194" s="6"/>
      <c r="G194" s="6"/>
      <c r="H194" s="6"/>
      <c r="I194" s="12"/>
      <c r="J194" s="3"/>
      <c r="K194" s="3"/>
      <c r="L194" s="4"/>
      <c r="M194" s="4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</row>
    <row r="195" spans="1:33" s="36" customFormat="1" ht="15" customHeight="1">
      <c r="A195" s="8"/>
      <c r="B195" s="6"/>
      <c r="C195" s="9"/>
      <c r="D195" s="9"/>
      <c r="E195" s="10"/>
      <c r="F195" s="6"/>
      <c r="G195" s="6"/>
      <c r="H195" s="6"/>
      <c r="I195" s="12"/>
      <c r="J195" s="3"/>
      <c r="K195" s="3"/>
      <c r="L195" s="4"/>
      <c r="M195" s="4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</row>
    <row r="196" spans="1:33" s="36" customFormat="1" ht="15" customHeight="1">
      <c r="A196" s="8"/>
      <c r="B196" s="6"/>
      <c r="C196" s="9"/>
      <c r="D196" s="9"/>
      <c r="E196" s="10"/>
      <c r="F196" s="6"/>
      <c r="G196" s="6"/>
      <c r="H196" s="6"/>
      <c r="I196" s="12"/>
      <c r="J196" s="3"/>
      <c r="K196" s="3"/>
      <c r="L196" s="4"/>
      <c r="M196" s="4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</row>
    <row r="197" spans="1:33" s="36" customFormat="1" ht="15" customHeight="1">
      <c r="A197" s="8"/>
      <c r="B197" s="6"/>
      <c r="C197" s="9"/>
      <c r="D197" s="9"/>
      <c r="E197" s="10"/>
      <c r="F197" s="6"/>
      <c r="G197" s="6"/>
      <c r="H197" s="6"/>
      <c r="I197" s="12"/>
      <c r="J197" s="3"/>
      <c r="K197" s="3"/>
      <c r="L197" s="4"/>
      <c r="M197" s="4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</row>
    <row r="198" spans="1:33" s="36" customFormat="1" ht="15" customHeight="1">
      <c r="A198" s="8"/>
      <c r="B198" s="6"/>
      <c r="C198" s="9"/>
      <c r="D198" s="9"/>
      <c r="E198" s="10"/>
      <c r="F198" s="6"/>
      <c r="G198" s="6"/>
      <c r="H198" s="6"/>
      <c r="I198" s="12"/>
      <c r="J198" s="3"/>
      <c r="K198" s="3"/>
      <c r="L198" s="4"/>
      <c r="M198" s="4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</row>
    <row r="199" spans="1:33" s="36" customFormat="1" ht="15" customHeight="1">
      <c r="A199" s="8"/>
      <c r="B199" s="6"/>
      <c r="C199" s="9"/>
      <c r="D199" s="9"/>
      <c r="E199" s="10"/>
      <c r="F199" s="6"/>
      <c r="G199" s="6"/>
      <c r="H199" s="6"/>
      <c r="I199" s="12"/>
      <c r="J199" s="3"/>
      <c r="K199" s="3"/>
      <c r="L199" s="4"/>
      <c r="M199" s="4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</row>
    <row r="200" spans="1:33" s="36" customFormat="1" ht="15" customHeight="1">
      <c r="A200" s="8"/>
      <c r="B200" s="6"/>
      <c r="C200" s="9"/>
      <c r="D200" s="9"/>
      <c r="E200" s="10"/>
      <c r="F200" s="6"/>
      <c r="G200" s="6"/>
      <c r="H200" s="6"/>
      <c r="I200" s="12"/>
      <c r="J200" s="3"/>
      <c r="K200" s="3"/>
      <c r="L200" s="4"/>
      <c r="M200" s="4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</row>
    <row r="201" spans="1:33" s="36" customFormat="1" ht="15" customHeight="1">
      <c r="A201" s="8"/>
      <c r="B201" s="6"/>
      <c r="C201" s="9"/>
      <c r="D201" s="9"/>
      <c r="E201" s="10"/>
      <c r="F201" s="6"/>
      <c r="G201" s="6"/>
      <c r="H201" s="6"/>
      <c r="I201" s="12"/>
      <c r="J201" s="3"/>
      <c r="K201" s="3"/>
      <c r="L201" s="4"/>
      <c r="M201" s="4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</row>
    <row r="202" spans="1:33" s="36" customFormat="1" ht="15" customHeight="1">
      <c r="A202" s="8"/>
      <c r="B202" s="6"/>
      <c r="C202" s="9"/>
      <c r="D202" s="9"/>
      <c r="E202" s="10"/>
      <c r="F202" s="6"/>
      <c r="G202" s="6"/>
      <c r="H202" s="6"/>
      <c r="I202" s="12"/>
      <c r="J202" s="3"/>
      <c r="K202" s="3"/>
      <c r="L202" s="4"/>
      <c r="M202" s="4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</row>
    <row r="203" spans="1:33" s="36" customFormat="1" ht="15" customHeight="1">
      <c r="A203" s="8"/>
      <c r="B203" s="6"/>
      <c r="C203" s="9"/>
      <c r="D203" s="9"/>
      <c r="E203" s="10"/>
      <c r="F203" s="6"/>
      <c r="G203" s="6"/>
      <c r="H203" s="6"/>
      <c r="I203" s="12"/>
      <c r="J203" s="3"/>
      <c r="K203" s="3"/>
      <c r="L203" s="4"/>
      <c r="M203" s="4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</row>
    <row r="204" spans="1:33" s="36" customFormat="1" ht="15" customHeight="1">
      <c r="A204" s="8"/>
      <c r="B204" s="6"/>
      <c r="C204" s="9"/>
      <c r="D204" s="9"/>
      <c r="E204" s="10"/>
      <c r="F204" s="6"/>
      <c r="G204" s="6"/>
      <c r="H204" s="6"/>
      <c r="I204" s="12"/>
      <c r="J204" s="3"/>
      <c r="K204" s="3"/>
      <c r="L204" s="4"/>
      <c r="M204" s="4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</row>
    <row r="205" spans="1:33" s="36" customFormat="1" ht="15" customHeight="1">
      <c r="A205" s="8"/>
      <c r="B205" s="6"/>
      <c r="C205" s="9"/>
      <c r="D205" s="9"/>
      <c r="E205" s="10"/>
      <c r="F205" s="6"/>
      <c r="G205" s="6"/>
      <c r="H205" s="6"/>
      <c r="I205" s="12"/>
      <c r="J205" s="3"/>
      <c r="K205" s="3"/>
      <c r="L205" s="4"/>
      <c r="M205" s="4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</row>
    <row r="206" spans="1:33" s="36" customFormat="1" ht="15" customHeight="1">
      <c r="A206" s="8"/>
      <c r="B206" s="6"/>
      <c r="C206" s="9"/>
      <c r="D206" s="9"/>
      <c r="E206" s="10"/>
      <c r="F206" s="6"/>
      <c r="G206" s="6"/>
      <c r="H206" s="6"/>
      <c r="I206" s="12"/>
      <c r="J206" s="3"/>
      <c r="K206" s="3"/>
      <c r="L206" s="4"/>
      <c r="M206" s="4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</row>
    <row r="207" spans="1:33" s="36" customFormat="1" ht="15" customHeight="1">
      <c r="A207" s="8"/>
      <c r="B207" s="6"/>
      <c r="C207" s="9"/>
      <c r="D207" s="9"/>
      <c r="E207" s="10"/>
      <c r="F207" s="6"/>
      <c r="G207" s="6"/>
      <c r="H207" s="6"/>
      <c r="I207" s="12"/>
      <c r="J207" s="3"/>
      <c r="K207" s="3"/>
      <c r="L207" s="4"/>
      <c r="M207" s="4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</row>
    <row r="208" spans="1:33" s="36" customFormat="1" ht="15" customHeight="1">
      <c r="A208" s="8"/>
      <c r="B208" s="6"/>
      <c r="C208" s="9"/>
      <c r="D208" s="9"/>
      <c r="E208" s="10"/>
      <c r="F208" s="6"/>
      <c r="G208" s="6"/>
      <c r="H208" s="6"/>
      <c r="I208" s="12"/>
      <c r="J208" s="3"/>
      <c r="K208" s="3"/>
      <c r="L208" s="4"/>
      <c r="M208" s="4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</row>
    <row r="209" spans="1:33" s="36" customFormat="1" ht="15" customHeight="1">
      <c r="A209" s="8"/>
      <c r="B209" s="6"/>
      <c r="C209" s="9"/>
      <c r="D209" s="9"/>
      <c r="E209" s="10"/>
      <c r="F209" s="6"/>
      <c r="G209" s="6"/>
      <c r="H209" s="6"/>
      <c r="I209" s="12"/>
      <c r="J209" s="3"/>
      <c r="K209" s="3"/>
      <c r="L209" s="4"/>
      <c r="M209" s="4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</row>
    <row r="210" spans="1:33" s="36" customFormat="1" ht="15" customHeight="1">
      <c r="A210" s="8"/>
      <c r="B210" s="6"/>
      <c r="C210" s="9"/>
      <c r="D210" s="9"/>
      <c r="E210" s="10"/>
      <c r="F210" s="6"/>
      <c r="G210" s="6"/>
      <c r="H210" s="6"/>
      <c r="I210" s="12"/>
      <c r="J210" s="3"/>
      <c r="K210" s="3"/>
      <c r="L210" s="4"/>
      <c r="M210" s="4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</row>
    <row r="211" spans="1:33" s="36" customFormat="1" ht="15" customHeight="1">
      <c r="A211" s="8"/>
      <c r="B211" s="6"/>
      <c r="C211" s="9"/>
      <c r="D211" s="9"/>
      <c r="E211" s="10"/>
      <c r="F211" s="6"/>
      <c r="G211" s="6"/>
      <c r="H211" s="6"/>
      <c r="I211" s="12"/>
      <c r="J211" s="3"/>
      <c r="K211" s="3"/>
      <c r="L211" s="4"/>
      <c r="M211" s="4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</row>
    <row r="212" spans="1:33" s="36" customFormat="1" ht="15" customHeight="1">
      <c r="A212" s="8"/>
      <c r="B212" s="6"/>
      <c r="C212" s="9"/>
      <c r="D212" s="9"/>
      <c r="E212" s="10"/>
      <c r="F212" s="6"/>
      <c r="G212" s="6"/>
      <c r="H212" s="6"/>
      <c r="I212" s="12"/>
      <c r="J212" s="3"/>
      <c r="K212" s="3"/>
      <c r="L212" s="4"/>
      <c r="M212" s="4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</row>
    <row r="213" spans="1:33" s="36" customFormat="1" ht="15" customHeight="1">
      <c r="A213" s="8"/>
      <c r="B213" s="6"/>
      <c r="C213" s="9"/>
      <c r="D213" s="9"/>
      <c r="E213" s="10"/>
      <c r="F213" s="6"/>
      <c r="G213" s="6"/>
      <c r="H213" s="6"/>
      <c r="I213" s="12"/>
      <c r="J213" s="3"/>
      <c r="K213" s="3"/>
      <c r="L213" s="4"/>
      <c r="M213" s="4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</row>
    <row r="214" spans="1:33" s="36" customFormat="1" ht="15" customHeight="1">
      <c r="A214" s="8"/>
      <c r="B214" s="6"/>
      <c r="C214" s="9"/>
      <c r="D214" s="9"/>
      <c r="E214" s="10"/>
      <c r="F214" s="6"/>
      <c r="G214" s="6"/>
      <c r="H214" s="6"/>
      <c r="I214" s="12"/>
      <c r="J214" s="3"/>
      <c r="K214" s="3"/>
      <c r="L214" s="4"/>
      <c r="M214" s="4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</row>
    <row r="215" spans="1:33" s="36" customFormat="1" ht="15" customHeight="1">
      <c r="A215" s="8"/>
      <c r="B215" s="6"/>
      <c r="C215" s="9"/>
      <c r="D215" s="9"/>
      <c r="E215" s="10"/>
      <c r="F215" s="6"/>
      <c r="G215" s="6"/>
      <c r="H215" s="6"/>
      <c r="I215" s="12"/>
      <c r="J215" s="3"/>
      <c r="K215" s="3"/>
      <c r="L215" s="4"/>
      <c r="M215" s="4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</row>
    <row r="216" spans="1:33" s="36" customFormat="1" ht="15" customHeight="1">
      <c r="A216" s="8"/>
      <c r="B216" s="6"/>
      <c r="C216" s="9"/>
      <c r="D216" s="9"/>
      <c r="E216" s="10"/>
      <c r="F216" s="6"/>
      <c r="G216" s="6"/>
      <c r="H216" s="6"/>
      <c r="I216" s="12"/>
      <c r="J216" s="3"/>
      <c r="K216" s="3"/>
      <c r="L216" s="4"/>
      <c r="M216" s="4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</row>
    <row r="217" spans="1:33" s="36" customFormat="1" ht="15" customHeight="1">
      <c r="A217" s="8"/>
      <c r="B217" s="6"/>
      <c r="C217" s="9"/>
      <c r="D217" s="9"/>
      <c r="E217" s="10"/>
      <c r="F217" s="6"/>
      <c r="G217" s="6"/>
      <c r="H217" s="6"/>
      <c r="I217" s="12"/>
      <c r="J217" s="3"/>
      <c r="K217" s="3"/>
      <c r="L217" s="4"/>
      <c r="M217" s="4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</row>
    <row r="218" spans="1:33" s="36" customFormat="1" ht="15" customHeight="1">
      <c r="A218" s="40"/>
      <c r="B218" s="1"/>
      <c r="C218" s="5"/>
      <c r="D218" s="7"/>
      <c r="E218" s="1"/>
      <c r="F218" s="6"/>
      <c r="G218" s="2"/>
      <c r="H218" s="2"/>
      <c r="I218" s="2"/>
      <c r="J218" s="3"/>
      <c r="K218" s="3"/>
      <c r="L218" s="4"/>
      <c r="M218" s="4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</row>
    <row r="219" spans="1:33" s="36" customFormat="1" ht="15" customHeight="1">
      <c r="A219" s="40"/>
      <c r="B219" s="1"/>
      <c r="C219" s="5"/>
      <c r="D219" s="7"/>
      <c r="E219" s="1"/>
      <c r="F219" s="6"/>
      <c r="G219" s="2"/>
      <c r="H219" s="2"/>
      <c r="I219" s="2"/>
      <c r="J219" s="3"/>
      <c r="K219" s="3"/>
      <c r="L219" s="4"/>
      <c r="M219" s="4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</row>
    <row r="220" spans="1:33" s="36" customFormat="1" ht="15" customHeight="1">
      <c r="A220" s="40"/>
      <c r="B220" s="1"/>
      <c r="C220" s="5"/>
      <c r="D220" s="7"/>
      <c r="E220" s="1"/>
      <c r="F220" s="6"/>
      <c r="G220" s="2"/>
      <c r="H220" s="2"/>
      <c r="I220" s="2"/>
      <c r="J220" s="3"/>
      <c r="K220" s="3"/>
      <c r="L220" s="4"/>
      <c r="M220" s="4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</row>
    <row r="221" spans="1:33" s="36" customFormat="1" ht="15" customHeight="1">
      <c r="A221" s="40"/>
      <c r="B221" s="1"/>
      <c r="C221" s="5"/>
      <c r="D221" s="7"/>
      <c r="E221" s="1"/>
      <c r="F221" s="6"/>
      <c r="G221" s="2"/>
      <c r="H221" s="2"/>
      <c r="I221" s="2"/>
      <c r="J221" s="3"/>
      <c r="K221" s="3"/>
      <c r="L221" s="4"/>
      <c r="M221" s="4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</row>
    <row r="222" spans="1:33" s="36" customFormat="1" ht="15" customHeight="1">
      <c r="A222" s="40"/>
      <c r="B222" s="1"/>
      <c r="C222" s="5"/>
      <c r="D222" s="7"/>
      <c r="E222" s="1"/>
      <c r="F222" s="6"/>
      <c r="G222" s="2"/>
      <c r="H222" s="2"/>
      <c r="I222" s="2"/>
      <c r="J222" s="3"/>
      <c r="K222" s="3"/>
      <c r="L222" s="4"/>
      <c r="M222" s="4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</row>
    <row r="223" spans="1:33" s="36" customFormat="1" ht="15" customHeight="1">
      <c r="A223" s="40"/>
      <c r="B223" s="1"/>
      <c r="C223" s="5"/>
      <c r="D223" s="7"/>
      <c r="E223" s="1"/>
      <c r="F223" s="6"/>
      <c r="G223" s="2"/>
      <c r="H223" s="2"/>
      <c r="I223" s="2"/>
      <c r="J223" s="3"/>
      <c r="K223" s="3"/>
      <c r="L223" s="4"/>
      <c r="M223" s="4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</row>
    <row r="224" spans="1:33" s="36" customFormat="1" ht="15" customHeight="1">
      <c r="A224" s="40"/>
      <c r="B224" s="1"/>
      <c r="C224" s="5"/>
      <c r="D224" s="7"/>
      <c r="E224" s="1"/>
      <c r="F224" s="6"/>
      <c r="G224" s="2"/>
      <c r="H224" s="2"/>
      <c r="I224" s="2"/>
      <c r="J224" s="3"/>
      <c r="K224" s="3"/>
      <c r="L224" s="4"/>
      <c r="M224" s="4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</row>
    <row r="225" spans="1:33" s="36" customFormat="1" ht="15" customHeight="1">
      <c r="A225" s="40"/>
      <c r="B225" s="1"/>
      <c r="C225" s="5"/>
      <c r="D225" s="7"/>
      <c r="E225" s="1"/>
      <c r="F225" s="6"/>
      <c r="G225" s="2"/>
      <c r="H225" s="2"/>
      <c r="I225" s="2"/>
      <c r="J225" s="3"/>
      <c r="K225" s="3"/>
      <c r="L225" s="4"/>
      <c r="M225" s="4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</row>
    <row r="226" spans="1:33" s="36" customFormat="1" ht="15" customHeight="1">
      <c r="A226" s="40"/>
      <c r="B226" s="1"/>
      <c r="C226" s="5"/>
      <c r="D226" s="7"/>
      <c r="E226" s="1"/>
      <c r="F226" s="6"/>
      <c r="G226" s="2"/>
      <c r="H226" s="2"/>
      <c r="I226" s="2"/>
      <c r="J226" s="3"/>
      <c r="K226" s="3"/>
      <c r="L226" s="4"/>
      <c r="M226" s="4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</row>
    <row r="227" spans="1:33" s="36" customFormat="1" ht="15" customHeight="1">
      <c r="A227" s="40"/>
      <c r="B227" s="1"/>
      <c r="C227" s="5"/>
      <c r="D227" s="7"/>
      <c r="E227" s="1"/>
      <c r="F227" s="6"/>
      <c r="G227" s="2"/>
      <c r="H227" s="2"/>
      <c r="I227" s="2"/>
      <c r="J227" s="3"/>
      <c r="K227" s="3"/>
      <c r="L227" s="4"/>
      <c r="M227" s="4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</row>
    <row r="228" spans="1:33" s="36" customFormat="1" ht="15" customHeight="1">
      <c r="A228" s="40"/>
      <c r="B228" s="1"/>
      <c r="C228" s="5"/>
      <c r="D228" s="7"/>
      <c r="E228" s="1"/>
      <c r="F228" s="6"/>
      <c r="G228" s="2"/>
      <c r="H228" s="2"/>
      <c r="I228" s="2"/>
      <c r="J228" s="3"/>
      <c r="K228" s="3"/>
      <c r="L228" s="4"/>
      <c r="M228" s="4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</row>
    <row r="229" spans="1:33" s="36" customFormat="1" ht="15" customHeight="1">
      <c r="A229" s="40"/>
      <c r="B229" s="1"/>
      <c r="C229" s="5"/>
      <c r="D229" s="7"/>
      <c r="E229" s="1"/>
      <c r="F229" s="6"/>
      <c r="G229" s="2"/>
      <c r="H229" s="2"/>
      <c r="I229" s="2"/>
      <c r="J229" s="3"/>
      <c r="K229" s="3"/>
      <c r="L229" s="4"/>
      <c r="M229" s="4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</row>
    <row r="230" spans="1:33" s="36" customFormat="1" ht="15" customHeight="1">
      <c r="A230" s="40"/>
      <c r="B230" s="1"/>
      <c r="C230" s="5"/>
      <c r="D230" s="7"/>
      <c r="E230" s="1"/>
      <c r="F230" s="6"/>
      <c r="G230" s="2"/>
      <c r="H230" s="2"/>
      <c r="I230" s="2"/>
      <c r="J230" s="3"/>
      <c r="K230" s="3"/>
      <c r="L230" s="4"/>
      <c r="M230" s="4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</row>
    <row r="231" spans="1:33" s="36" customFormat="1" ht="15" customHeight="1">
      <c r="A231" s="40"/>
      <c r="B231" s="1"/>
      <c r="C231" s="5"/>
      <c r="D231" s="7"/>
      <c r="E231" s="1"/>
      <c r="F231" s="6"/>
      <c r="G231" s="2"/>
      <c r="H231" s="2"/>
      <c r="I231" s="2"/>
      <c r="J231" s="3"/>
      <c r="K231" s="3"/>
      <c r="L231" s="4"/>
      <c r="M231" s="4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</row>
    <row r="232" spans="1:33" s="36" customFormat="1" ht="15" customHeight="1">
      <c r="A232" s="40"/>
      <c r="B232" s="1"/>
      <c r="C232" s="5"/>
      <c r="D232" s="7"/>
      <c r="E232" s="1"/>
      <c r="F232" s="6"/>
      <c r="G232" s="2"/>
      <c r="H232" s="2"/>
      <c r="I232" s="2"/>
      <c r="J232" s="3"/>
      <c r="K232" s="3"/>
      <c r="L232" s="4"/>
      <c r="M232" s="4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</row>
    <row r="233" spans="1:33" s="36" customFormat="1" ht="15" customHeight="1">
      <c r="A233" s="40"/>
      <c r="B233" s="1"/>
      <c r="C233" s="5"/>
      <c r="D233" s="7"/>
      <c r="E233" s="1"/>
      <c r="F233" s="6"/>
      <c r="G233" s="2"/>
      <c r="H233" s="2"/>
      <c r="I233" s="2"/>
      <c r="J233" s="3"/>
      <c r="K233" s="3"/>
      <c r="L233" s="4"/>
      <c r="M233" s="4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</row>
    <row r="234" spans="1:33" s="36" customFormat="1" ht="15" customHeight="1">
      <c r="A234" s="40"/>
      <c r="B234" s="1"/>
      <c r="C234" s="5"/>
      <c r="D234" s="7"/>
      <c r="E234" s="1"/>
      <c r="F234" s="6"/>
      <c r="G234" s="2"/>
      <c r="H234" s="2"/>
      <c r="I234" s="2"/>
      <c r="J234" s="3"/>
      <c r="K234" s="3"/>
      <c r="L234" s="4"/>
      <c r="M234" s="4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</row>
    <row r="235" spans="1:33" s="36" customFormat="1" ht="15" customHeight="1">
      <c r="A235" s="40"/>
      <c r="B235" s="1"/>
      <c r="C235" s="5"/>
      <c r="D235" s="7"/>
      <c r="E235" s="1"/>
      <c r="F235" s="6"/>
      <c r="G235" s="2"/>
      <c r="H235" s="2"/>
      <c r="I235" s="2"/>
      <c r="J235" s="3"/>
      <c r="K235" s="3"/>
      <c r="L235" s="4"/>
      <c r="M235" s="4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</row>
    <row r="236" spans="1:33" s="36" customFormat="1" ht="15" customHeight="1">
      <c r="A236" s="40"/>
      <c r="B236" s="1"/>
      <c r="C236" s="5"/>
      <c r="D236" s="7"/>
      <c r="E236" s="1"/>
      <c r="F236" s="6"/>
      <c r="G236" s="2"/>
      <c r="H236" s="2"/>
      <c r="I236" s="2"/>
      <c r="J236" s="3"/>
      <c r="K236" s="3"/>
      <c r="L236" s="4"/>
      <c r="M236" s="4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</row>
    <row r="237" spans="1:33" s="36" customFormat="1" ht="15" customHeight="1">
      <c r="A237" s="40"/>
      <c r="B237" s="1"/>
      <c r="C237" s="5"/>
      <c r="D237" s="7"/>
      <c r="E237" s="1"/>
      <c r="F237" s="6"/>
      <c r="G237" s="2"/>
      <c r="H237" s="2"/>
      <c r="I237" s="11"/>
      <c r="J237" s="3"/>
      <c r="K237" s="3"/>
      <c r="L237" s="4"/>
      <c r="M237" s="4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</row>
    <row r="238" spans="1:33" s="36" customFormat="1" ht="15" customHeight="1">
      <c r="A238" s="40"/>
      <c r="B238" s="1"/>
      <c r="C238" s="5"/>
      <c r="D238" s="7"/>
      <c r="E238" s="1"/>
      <c r="F238" s="6"/>
      <c r="G238" s="2"/>
      <c r="H238" s="2"/>
      <c r="I238" s="2"/>
      <c r="J238" s="3"/>
      <c r="K238" s="3"/>
      <c r="L238" s="4"/>
      <c r="M238" s="4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</row>
    <row r="239" spans="1:33" s="36" customFormat="1" ht="15" customHeight="1">
      <c r="A239" s="40"/>
      <c r="B239" s="1"/>
      <c r="C239" s="5"/>
      <c r="D239" s="7"/>
      <c r="E239" s="1"/>
      <c r="F239" s="6"/>
      <c r="G239" s="2"/>
      <c r="H239" s="2"/>
      <c r="I239" s="2"/>
      <c r="J239" s="3"/>
      <c r="K239" s="3"/>
      <c r="L239" s="4"/>
      <c r="M239" s="4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</row>
    <row r="240" spans="1:33" s="36" customFormat="1" ht="15" customHeight="1">
      <c r="A240" s="40"/>
      <c r="B240" s="1"/>
      <c r="C240" s="5"/>
      <c r="D240" s="7"/>
      <c r="E240" s="1"/>
      <c r="F240" s="6"/>
      <c r="G240" s="2"/>
      <c r="H240" s="2"/>
      <c r="I240" s="2"/>
      <c r="J240" s="3"/>
      <c r="K240" s="3"/>
      <c r="L240" s="4"/>
      <c r="M240" s="4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</row>
    <row r="241" spans="1:33" s="36" customFormat="1" ht="15" customHeight="1">
      <c r="A241" s="40"/>
      <c r="B241" s="1"/>
      <c r="C241" s="5"/>
      <c r="D241" s="7"/>
      <c r="E241" s="1"/>
      <c r="F241" s="6"/>
      <c r="G241" s="2"/>
      <c r="H241" s="2"/>
      <c r="I241" s="2"/>
      <c r="J241" s="3"/>
      <c r="K241" s="3"/>
      <c r="L241" s="4"/>
      <c r="M241" s="4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</row>
    <row r="242" spans="1:33" s="36" customFormat="1" ht="15" customHeight="1">
      <c r="A242" s="40"/>
      <c r="B242" s="1"/>
      <c r="C242" s="5"/>
      <c r="D242" s="7"/>
      <c r="E242" s="1"/>
      <c r="F242" s="6"/>
      <c r="G242" s="2"/>
      <c r="H242" s="2"/>
      <c r="I242" s="2"/>
      <c r="J242" s="3"/>
      <c r="K242" s="3"/>
      <c r="L242" s="4"/>
      <c r="M242" s="4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</row>
    <row r="243" spans="1:33" s="36" customFormat="1" ht="15" customHeight="1">
      <c r="A243" s="40"/>
      <c r="B243" s="1"/>
      <c r="C243" s="5"/>
      <c r="D243" s="7"/>
      <c r="E243" s="1"/>
      <c r="F243" s="6"/>
      <c r="G243" s="2"/>
      <c r="H243" s="2"/>
      <c r="I243" s="2"/>
      <c r="J243" s="3"/>
      <c r="K243" s="3"/>
      <c r="L243" s="4"/>
      <c r="M243" s="4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</row>
    <row r="244" spans="1:33" s="36" customFormat="1" ht="15" customHeight="1">
      <c r="A244" s="40"/>
      <c r="B244" s="1"/>
      <c r="C244" s="5"/>
      <c r="D244" s="7"/>
      <c r="E244" s="1"/>
      <c r="F244" s="6"/>
      <c r="G244" s="2"/>
      <c r="H244" s="2"/>
      <c r="I244" s="2"/>
      <c r="J244" s="3"/>
      <c r="K244" s="3"/>
      <c r="L244" s="4"/>
      <c r="M244" s="4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</row>
    <row r="245" spans="1:33" s="36" customFormat="1" ht="15" customHeight="1">
      <c r="A245" s="40"/>
      <c r="B245" s="1"/>
      <c r="C245" s="5"/>
      <c r="D245" s="7"/>
      <c r="E245" s="1"/>
      <c r="F245" s="6"/>
      <c r="G245" s="2"/>
      <c r="H245" s="2"/>
      <c r="I245" s="2"/>
      <c r="J245" s="3"/>
      <c r="K245" s="3"/>
      <c r="L245" s="4"/>
      <c r="M245" s="4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</row>
    <row r="246" spans="1:33" s="36" customFormat="1" ht="15" customHeight="1">
      <c r="A246" s="40"/>
      <c r="B246" s="1"/>
      <c r="C246" s="5"/>
      <c r="D246" s="7"/>
      <c r="E246" s="1"/>
      <c r="F246" s="6"/>
      <c r="G246" s="2"/>
      <c r="H246" s="2"/>
      <c r="I246" s="2"/>
      <c r="J246" s="3"/>
      <c r="K246" s="3"/>
      <c r="L246" s="4"/>
      <c r="M246" s="4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</row>
    <row r="247" spans="1:33" s="36" customFormat="1" ht="15" customHeight="1">
      <c r="A247" s="40"/>
      <c r="B247" s="1"/>
      <c r="C247" s="5"/>
      <c r="D247" s="7"/>
      <c r="E247" s="1"/>
      <c r="F247" s="6"/>
      <c r="G247" s="2"/>
      <c r="H247" s="2"/>
      <c r="I247" s="2"/>
      <c r="J247" s="3"/>
      <c r="K247" s="3"/>
      <c r="L247" s="4"/>
      <c r="M247" s="4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</row>
    <row r="248" spans="1:33" s="36" customFormat="1" ht="15" customHeight="1">
      <c r="A248" s="40"/>
      <c r="B248" s="1"/>
      <c r="C248" s="5"/>
      <c r="D248" s="7"/>
      <c r="E248" s="1"/>
      <c r="F248" s="6"/>
      <c r="G248" s="2"/>
      <c r="H248" s="2"/>
      <c r="I248" s="2"/>
      <c r="J248" s="3"/>
      <c r="K248" s="3"/>
      <c r="L248" s="4"/>
      <c r="M248" s="4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</row>
    <row r="249" spans="1:33" s="36" customFormat="1" ht="15" customHeight="1">
      <c r="A249" s="40"/>
      <c r="B249" s="1"/>
      <c r="C249" s="5"/>
      <c r="D249" s="7"/>
      <c r="E249" s="1"/>
      <c r="F249" s="6"/>
      <c r="G249" s="2"/>
      <c r="H249" s="2"/>
      <c r="I249" s="2"/>
      <c r="J249" s="3"/>
      <c r="K249" s="3"/>
      <c r="L249" s="4"/>
      <c r="M249" s="4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</row>
    <row r="250" spans="1:33" s="36" customFormat="1" ht="15" customHeight="1">
      <c r="A250" s="40"/>
      <c r="B250" s="1"/>
      <c r="C250" s="5"/>
      <c r="D250" s="7"/>
      <c r="E250" s="1"/>
      <c r="F250" s="6"/>
      <c r="G250" s="2"/>
      <c r="H250" s="2"/>
      <c r="I250" s="2"/>
      <c r="J250" s="3"/>
      <c r="K250" s="3"/>
      <c r="L250" s="4"/>
      <c r="M250" s="4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</row>
    <row r="251" spans="1:33" s="36" customFormat="1" ht="15" customHeight="1">
      <c r="A251" s="40"/>
      <c r="B251" s="1"/>
      <c r="C251" s="5"/>
      <c r="D251" s="7"/>
      <c r="E251" s="1"/>
      <c r="F251" s="6"/>
      <c r="G251" s="2"/>
      <c r="H251" s="2"/>
      <c r="I251" s="2"/>
      <c r="J251" s="3"/>
      <c r="K251" s="3"/>
      <c r="L251" s="4"/>
      <c r="M251" s="4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</row>
    <row r="252" spans="1:33" s="36" customFormat="1" ht="15" customHeight="1">
      <c r="A252" s="40"/>
      <c r="B252" s="1"/>
      <c r="C252" s="5"/>
      <c r="D252" s="7"/>
      <c r="E252" s="1"/>
      <c r="F252" s="6"/>
      <c r="G252" s="2"/>
      <c r="H252" s="2"/>
      <c r="I252" s="2"/>
      <c r="J252" s="3"/>
      <c r="K252" s="3"/>
      <c r="L252" s="4"/>
      <c r="M252" s="4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</row>
    <row r="253" spans="1:33" s="36" customFormat="1" ht="15" customHeight="1">
      <c r="A253" s="40"/>
      <c r="B253" s="1"/>
      <c r="C253" s="5"/>
      <c r="D253" s="7"/>
      <c r="E253" s="1"/>
      <c r="F253" s="6"/>
      <c r="G253" s="2"/>
      <c r="H253" s="2"/>
      <c r="I253" s="2"/>
      <c r="J253" s="3"/>
      <c r="K253" s="3"/>
      <c r="L253" s="4"/>
      <c r="M253" s="4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</row>
    <row r="254" spans="1:33" s="36" customFormat="1" ht="15" customHeight="1">
      <c r="A254" s="41"/>
      <c r="B254" s="1"/>
      <c r="C254" s="5"/>
      <c r="D254" s="7"/>
      <c r="E254" s="1"/>
      <c r="F254" s="6"/>
      <c r="G254" s="2"/>
      <c r="H254" s="2"/>
      <c r="I254" s="2"/>
      <c r="J254" s="3"/>
      <c r="K254" s="3"/>
      <c r="L254" s="4"/>
      <c r="M254" s="4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</row>
    <row r="255" spans="1:33" s="36" customFormat="1" ht="15" customHeight="1">
      <c r="A255" s="41"/>
      <c r="B255" s="1"/>
      <c r="C255" s="5"/>
      <c r="D255" s="7"/>
      <c r="E255" s="1"/>
      <c r="F255" s="6"/>
      <c r="G255" s="2"/>
      <c r="H255" s="2"/>
      <c r="I255" s="2"/>
      <c r="J255" s="3"/>
      <c r="K255" s="3"/>
      <c r="L255" s="4"/>
      <c r="M255" s="4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</row>
    <row r="256" spans="1:33" s="36" customFormat="1" ht="15" customHeight="1">
      <c r="A256" s="41"/>
      <c r="B256" s="1"/>
      <c r="C256" s="5"/>
      <c r="D256" s="7"/>
      <c r="E256" s="1"/>
      <c r="F256" s="6"/>
      <c r="G256" s="2"/>
      <c r="H256" s="2"/>
      <c r="I256" s="2"/>
      <c r="J256" s="3"/>
      <c r="K256" s="3"/>
      <c r="L256" s="4"/>
      <c r="M256" s="4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</row>
    <row r="257" spans="1:33" s="36" customFormat="1" ht="15" customHeight="1">
      <c r="A257" s="41"/>
      <c r="B257" s="1"/>
      <c r="C257" s="5"/>
      <c r="D257" s="7"/>
      <c r="E257" s="1"/>
      <c r="F257" s="6"/>
      <c r="G257" s="2"/>
      <c r="H257" s="2"/>
      <c r="I257" s="2"/>
      <c r="J257" s="3"/>
      <c r="K257" s="3"/>
      <c r="L257" s="4"/>
      <c r="M257" s="4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</row>
    <row r="258" spans="1:33" s="36" customFormat="1" ht="15" customHeight="1">
      <c r="A258" s="41"/>
      <c r="B258" s="1"/>
      <c r="C258" s="5"/>
      <c r="D258" s="7"/>
      <c r="E258" s="1"/>
      <c r="F258" s="6"/>
      <c r="G258" s="2"/>
      <c r="H258" s="2"/>
      <c r="I258" s="2"/>
      <c r="J258" s="3"/>
      <c r="K258" s="3"/>
      <c r="L258" s="4"/>
      <c r="M258" s="4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</row>
    <row r="259" spans="1:33" s="36" customFormat="1" ht="15" customHeight="1">
      <c r="A259" s="41"/>
      <c r="B259" s="1"/>
      <c r="C259" s="5"/>
      <c r="D259" s="7"/>
      <c r="E259" s="1"/>
      <c r="F259" s="6"/>
      <c r="G259" s="2"/>
      <c r="H259" s="2"/>
      <c r="I259" s="2"/>
      <c r="J259" s="3"/>
      <c r="K259" s="3"/>
      <c r="L259" s="4"/>
      <c r="M259" s="4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</row>
    <row r="260" spans="1:33" s="36" customFormat="1" ht="15" customHeight="1">
      <c r="A260" s="41"/>
      <c r="B260" s="1"/>
      <c r="C260" s="5"/>
      <c r="D260" s="7"/>
      <c r="E260" s="1"/>
      <c r="F260" s="6"/>
      <c r="G260" s="2"/>
      <c r="H260" s="2"/>
      <c r="I260" s="2"/>
      <c r="J260" s="3"/>
      <c r="K260" s="3"/>
      <c r="L260" s="4"/>
      <c r="M260" s="4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</row>
    <row r="261" spans="1:33" s="36" customFormat="1" ht="15" customHeight="1">
      <c r="A261" s="41"/>
      <c r="B261" s="1"/>
      <c r="C261" s="5"/>
      <c r="D261" s="7"/>
      <c r="E261" s="1"/>
      <c r="F261" s="6"/>
      <c r="G261" s="2"/>
      <c r="H261" s="2"/>
      <c r="I261" s="2"/>
      <c r="J261" s="3"/>
      <c r="K261" s="3"/>
      <c r="L261" s="4"/>
      <c r="M261" s="4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</row>
    <row r="262" spans="1:33" s="36" customFormat="1" ht="15" customHeight="1">
      <c r="A262" s="41"/>
      <c r="B262" s="1"/>
      <c r="C262" s="5"/>
      <c r="D262" s="7"/>
      <c r="E262" s="1"/>
      <c r="F262" s="6"/>
      <c r="G262" s="2"/>
      <c r="H262" s="2"/>
      <c r="I262" s="2"/>
      <c r="J262" s="3"/>
      <c r="K262" s="3"/>
      <c r="L262" s="4"/>
      <c r="M262" s="4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</row>
    <row r="263" spans="1:33" s="36" customFormat="1" ht="15" customHeight="1">
      <c r="A263" s="41"/>
      <c r="B263" s="1"/>
      <c r="C263" s="5"/>
      <c r="D263" s="7"/>
      <c r="E263" s="1"/>
      <c r="F263" s="6"/>
      <c r="G263" s="2"/>
      <c r="H263" s="2"/>
      <c r="I263" s="2"/>
      <c r="J263" s="3"/>
      <c r="K263" s="3"/>
      <c r="L263" s="4"/>
      <c r="M263" s="4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</row>
    <row r="264" spans="1:33" s="36" customFormat="1" ht="15" customHeight="1">
      <c r="A264" s="41"/>
      <c r="B264" s="1"/>
      <c r="C264" s="5"/>
      <c r="D264" s="7"/>
      <c r="E264" s="1"/>
      <c r="F264" s="6"/>
      <c r="G264" s="2"/>
      <c r="H264" s="2"/>
      <c r="I264" s="2"/>
      <c r="J264" s="3"/>
      <c r="K264" s="3"/>
      <c r="L264" s="4"/>
      <c r="M264" s="4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</row>
    <row r="265" spans="1:33">
      <c r="A265" s="41"/>
      <c r="B265" s="1"/>
      <c r="C265" s="5"/>
      <c r="D265" s="7"/>
      <c r="E265" s="1"/>
      <c r="F265" s="6"/>
      <c r="G265" s="2"/>
      <c r="H265" s="2"/>
      <c r="I265" s="2"/>
      <c r="J265" s="3"/>
      <c r="K265" s="3"/>
      <c r="L265" s="4"/>
      <c r="M265" s="4"/>
    </row>
    <row r="266" spans="1:33">
      <c r="A266" s="41"/>
      <c r="B266" s="1"/>
      <c r="C266" s="5"/>
      <c r="D266" s="7"/>
      <c r="E266" s="1"/>
      <c r="F266" s="6"/>
      <c r="G266" s="2"/>
      <c r="H266" s="2"/>
      <c r="I266" s="2"/>
      <c r="J266" s="3"/>
      <c r="K266" s="3"/>
      <c r="L266" s="4"/>
      <c r="M266" s="4"/>
    </row>
    <row r="267" spans="1:33">
      <c r="A267" s="41"/>
      <c r="B267" s="1"/>
      <c r="C267" s="5"/>
      <c r="D267" s="7"/>
      <c r="E267" s="1"/>
      <c r="F267" s="6"/>
      <c r="G267" s="2"/>
      <c r="H267" s="2"/>
      <c r="I267" s="2"/>
      <c r="J267" s="3"/>
      <c r="K267" s="3"/>
      <c r="L267" s="4"/>
      <c r="M267" s="4"/>
    </row>
    <row r="268" spans="1:33">
      <c r="A268" s="41"/>
      <c r="B268" s="1"/>
      <c r="C268" s="5"/>
      <c r="D268" s="7"/>
      <c r="E268" s="1"/>
      <c r="F268" s="6"/>
      <c r="G268" s="2"/>
      <c r="H268" s="2"/>
      <c r="I268" s="2"/>
      <c r="J268" s="3"/>
      <c r="K268" s="3"/>
      <c r="L268" s="4"/>
      <c r="M268" s="4"/>
    </row>
    <row r="269" spans="1:33">
      <c r="A269" s="41"/>
      <c r="B269" s="1"/>
      <c r="C269" s="5"/>
      <c r="D269" s="7"/>
      <c r="E269" s="1"/>
      <c r="F269" s="6"/>
      <c r="G269" s="2"/>
      <c r="H269" s="2"/>
      <c r="I269" s="2"/>
      <c r="J269" s="3"/>
      <c r="K269" s="3"/>
      <c r="L269" s="4"/>
      <c r="M269" s="4"/>
    </row>
    <row r="270" spans="1:33">
      <c r="A270" s="41"/>
      <c r="B270" s="1"/>
      <c r="C270" s="5"/>
      <c r="D270" s="7"/>
      <c r="E270" s="1"/>
      <c r="F270" s="6"/>
      <c r="G270" s="2"/>
      <c r="H270" s="2"/>
      <c r="I270" s="2"/>
      <c r="J270" s="3"/>
      <c r="K270" s="3"/>
      <c r="L270" s="4"/>
      <c r="M270" s="4"/>
    </row>
    <row r="271" spans="1:33">
      <c r="A271" s="41"/>
      <c r="B271" s="1"/>
      <c r="C271" s="5"/>
      <c r="D271" s="7"/>
      <c r="E271" s="1"/>
      <c r="F271" s="6"/>
      <c r="G271" s="2"/>
      <c r="H271" s="2"/>
      <c r="I271" s="2"/>
      <c r="J271" s="3"/>
      <c r="K271" s="3"/>
      <c r="L271" s="4"/>
      <c r="M271" s="4"/>
    </row>
    <row r="272" spans="1:33">
      <c r="A272" s="41"/>
      <c r="B272" s="1"/>
      <c r="C272" s="5"/>
      <c r="D272" s="7"/>
      <c r="E272" s="1"/>
      <c r="F272" s="6"/>
      <c r="G272" s="2"/>
      <c r="H272" s="2"/>
      <c r="I272" s="2"/>
      <c r="J272" s="3"/>
      <c r="K272" s="3"/>
      <c r="L272" s="4"/>
      <c r="M272" s="4"/>
    </row>
    <row r="273" spans="1:13">
      <c r="A273" s="41"/>
      <c r="B273" s="1"/>
      <c r="C273" s="5"/>
      <c r="D273" s="7"/>
      <c r="E273" s="1"/>
      <c r="F273" s="6"/>
      <c r="G273" s="2"/>
      <c r="H273" s="2"/>
      <c r="I273" s="2"/>
      <c r="J273" s="3"/>
      <c r="K273" s="3"/>
      <c r="L273" s="4"/>
      <c r="M273" s="4"/>
    </row>
    <row r="274" spans="1:13">
      <c r="A274" s="41"/>
      <c r="B274" s="1"/>
      <c r="C274" s="5"/>
      <c r="D274" s="7"/>
      <c r="E274" s="1"/>
      <c r="F274" s="6"/>
      <c r="G274" s="2"/>
      <c r="H274" s="2"/>
      <c r="I274" s="2"/>
      <c r="J274" s="3"/>
      <c r="K274" s="3"/>
      <c r="L274" s="4"/>
      <c r="M274" s="4"/>
    </row>
    <row r="275" spans="1:13">
      <c r="A275" s="41"/>
      <c r="B275" s="1"/>
      <c r="C275" s="5"/>
      <c r="D275" s="7"/>
      <c r="E275" s="1"/>
      <c r="F275" s="6"/>
      <c r="G275" s="2"/>
      <c r="H275" s="2"/>
      <c r="I275" s="2"/>
      <c r="J275" s="3"/>
      <c r="K275" s="3"/>
      <c r="L275" s="4"/>
      <c r="M275" s="4"/>
    </row>
    <row r="276" spans="1:13">
      <c r="A276" s="41"/>
      <c r="B276" s="1"/>
      <c r="C276" s="5"/>
      <c r="D276" s="7"/>
      <c r="E276" s="1"/>
      <c r="F276" s="6"/>
      <c r="G276" s="2"/>
      <c r="H276" s="2"/>
      <c r="I276" s="2"/>
      <c r="J276" s="3"/>
      <c r="K276" s="3"/>
      <c r="L276" s="4"/>
      <c r="M276" s="4"/>
    </row>
    <row r="277" spans="1:13">
      <c r="A277" s="41"/>
      <c r="B277" s="1"/>
      <c r="C277" s="5"/>
      <c r="D277" s="7"/>
      <c r="E277" s="1"/>
      <c r="F277" s="6"/>
      <c r="G277" s="2"/>
      <c r="H277" s="2"/>
      <c r="I277" s="2"/>
      <c r="J277" s="3"/>
      <c r="K277" s="3"/>
      <c r="L277" s="4"/>
      <c r="M277" s="4"/>
    </row>
    <row r="278" spans="1:13">
      <c r="A278" s="41"/>
      <c r="B278" s="1"/>
      <c r="C278" s="5"/>
      <c r="D278" s="7"/>
      <c r="E278" s="1"/>
      <c r="F278" s="6"/>
      <c r="G278" s="2"/>
      <c r="H278" s="2"/>
      <c r="I278" s="2"/>
      <c r="J278" s="3"/>
      <c r="K278" s="3"/>
      <c r="L278" s="4"/>
      <c r="M278" s="4"/>
    </row>
    <row r="279" spans="1:13">
      <c r="A279" s="40"/>
      <c r="B279" s="1"/>
      <c r="C279" s="5"/>
      <c r="D279" s="7"/>
      <c r="E279" s="1"/>
      <c r="F279" s="6"/>
      <c r="G279" s="2"/>
      <c r="H279" s="2"/>
      <c r="I279" s="2"/>
      <c r="J279" s="3"/>
      <c r="K279" s="3"/>
      <c r="L279" s="4"/>
      <c r="M279" s="4"/>
    </row>
    <row r="280" spans="1:13">
      <c r="A280" s="41"/>
      <c r="B280" s="1"/>
      <c r="C280" s="5"/>
      <c r="D280" s="7"/>
      <c r="E280" s="1"/>
      <c r="F280" s="6"/>
      <c r="G280" s="2"/>
      <c r="H280" s="2"/>
      <c r="I280" s="2"/>
      <c r="J280" s="3"/>
      <c r="K280" s="3"/>
      <c r="L280" s="4"/>
      <c r="M280" s="4"/>
    </row>
    <row r="281" spans="1:13">
      <c r="A281" s="41"/>
      <c r="B281" s="1"/>
      <c r="C281" s="5"/>
      <c r="D281" s="7"/>
      <c r="E281" s="1"/>
      <c r="F281" s="6"/>
      <c r="G281" s="2"/>
      <c r="H281" s="2"/>
      <c r="I281" s="2"/>
      <c r="J281" s="3"/>
      <c r="K281" s="3"/>
      <c r="L281" s="4"/>
      <c r="M281" s="4"/>
    </row>
    <row r="282" spans="1:13">
      <c r="A282" s="41"/>
      <c r="B282" s="1"/>
      <c r="C282" s="5"/>
      <c r="D282" s="7"/>
      <c r="E282" s="1"/>
      <c r="F282" s="6"/>
      <c r="G282" s="2"/>
      <c r="H282" s="2"/>
      <c r="I282" s="2"/>
      <c r="J282" s="3"/>
      <c r="K282" s="3"/>
      <c r="L282" s="4"/>
      <c r="M282" s="4"/>
    </row>
    <row r="283" spans="1:13">
      <c r="A283" s="41"/>
      <c r="B283" s="1"/>
      <c r="C283" s="5"/>
      <c r="D283" s="7"/>
      <c r="E283" s="1"/>
      <c r="F283" s="6"/>
      <c r="G283" s="2"/>
      <c r="H283" s="2"/>
      <c r="I283" s="2"/>
      <c r="J283" s="3"/>
      <c r="K283" s="3"/>
      <c r="L283" s="4"/>
      <c r="M283" s="4"/>
    </row>
    <row r="284" spans="1:13">
      <c r="A284" s="41"/>
      <c r="B284" s="1"/>
      <c r="C284" s="5"/>
      <c r="D284" s="7"/>
      <c r="E284" s="1"/>
      <c r="F284" s="6"/>
      <c r="G284" s="2"/>
      <c r="H284" s="2"/>
      <c r="I284" s="2"/>
      <c r="J284" s="3"/>
      <c r="K284" s="3"/>
      <c r="L284" s="4"/>
      <c r="M284" s="4"/>
    </row>
    <row r="285" spans="1:13">
      <c r="A285" s="41"/>
      <c r="B285" s="1"/>
      <c r="C285" s="5"/>
      <c r="D285" s="7"/>
      <c r="E285" s="1"/>
      <c r="F285" s="6"/>
      <c r="G285" s="2"/>
      <c r="H285" s="2"/>
      <c r="I285" s="2"/>
      <c r="J285" s="3"/>
      <c r="K285" s="3"/>
      <c r="L285" s="4"/>
      <c r="M285" s="4"/>
    </row>
    <row r="286" spans="1:13">
      <c r="A286" s="41"/>
      <c r="B286" s="1"/>
      <c r="C286" s="5"/>
      <c r="D286" s="7"/>
      <c r="E286" s="1"/>
      <c r="F286" s="6"/>
      <c r="G286" s="2"/>
      <c r="H286" s="2"/>
      <c r="I286" s="2"/>
      <c r="J286" s="3"/>
      <c r="K286" s="3"/>
      <c r="L286" s="4"/>
      <c r="M286" s="4"/>
    </row>
    <row r="287" spans="1:13">
      <c r="A287" s="41"/>
      <c r="B287" s="1"/>
      <c r="C287" s="5"/>
      <c r="D287" s="7"/>
      <c r="E287" s="1"/>
      <c r="F287" s="6"/>
      <c r="G287" s="2"/>
      <c r="H287" s="2"/>
      <c r="I287" s="2"/>
      <c r="J287" s="3"/>
      <c r="K287" s="3"/>
      <c r="L287" s="4"/>
      <c r="M287" s="4"/>
    </row>
    <row r="288" spans="1:13">
      <c r="A288" s="41"/>
      <c r="B288" s="1"/>
      <c r="C288" s="5"/>
      <c r="D288" s="7"/>
      <c r="E288" s="1"/>
      <c r="F288" s="6"/>
      <c r="G288" s="2"/>
      <c r="H288" s="2"/>
      <c r="I288" s="2"/>
      <c r="J288" s="3"/>
      <c r="K288" s="3"/>
      <c r="L288" s="4"/>
      <c r="M288" s="4"/>
    </row>
  </sheetData>
  <mergeCells count="18">
    <mergeCell ref="A6:A8"/>
    <mergeCell ref="B6:B8"/>
    <mergeCell ref="C6:C8"/>
    <mergeCell ref="D6:D8"/>
    <mergeCell ref="E6:E8"/>
    <mergeCell ref="A1:C5"/>
    <mergeCell ref="D1:L3"/>
    <mergeCell ref="M1:M3"/>
    <mergeCell ref="D4:L4"/>
    <mergeCell ref="D5:L5"/>
    <mergeCell ref="L6:L8"/>
    <mergeCell ref="M6:M8"/>
    <mergeCell ref="F6:F8"/>
    <mergeCell ref="G6:G8"/>
    <mergeCell ref="H6:H8"/>
    <mergeCell ref="I6:I8"/>
    <mergeCell ref="J6:J8"/>
    <mergeCell ref="K6:K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PPCG OPTION</vt:lpstr>
      <vt:lpstr>BTST OPTION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Research</cp:lastModifiedBy>
  <dcterms:created xsi:type="dcterms:W3CDTF">2017-02-19T01:27:31Z</dcterms:created>
  <dcterms:modified xsi:type="dcterms:W3CDTF">2020-10-28T08:42:59Z</dcterms:modified>
</cp:coreProperties>
</file>