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/>
  </bookViews>
  <sheets>
    <sheet name="BASIC OPTION" sheetId="1" r:id="rId1"/>
  </sheets>
  <calcPr calcId="124519"/>
</workbook>
</file>

<file path=xl/calcChain.xml><?xml version="1.0" encoding="utf-8"?>
<calcChain xmlns="http://schemas.openxmlformats.org/spreadsheetml/2006/main">
  <c r="K10" i="1"/>
  <c r="N10" s="1"/>
  <c r="O10" s="1"/>
  <c r="K11"/>
  <c r="N11" s="1"/>
  <c r="O11" s="1"/>
  <c r="K12"/>
  <c r="N12" s="1"/>
  <c r="O12" s="1"/>
  <c r="K13"/>
  <c r="N13" s="1"/>
  <c r="O13" s="1"/>
  <c r="K14"/>
  <c r="N14" s="1"/>
  <c r="O14" s="1"/>
  <c r="K15"/>
  <c r="N15" s="1"/>
  <c r="O15" s="1"/>
  <c r="K16"/>
  <c r="N16" s="1"/>
  <c r="O16" s="1"/>
  <c r="K17"/>
  <c r="N17" s="1"/>
  <c r="O17" s="1"/>
  <c r="N18"/>
  <c r="O18" s="1"/>
  <c r="K18"/>
  <c r="K19"/>
  <c r="N19" s="1"/>
  <c r="O19" s="1"/>
  <c r="K20"/>
  <c r="N20" s="1"/>
  <c r="O20" s="1"/>
  <c r="K21"/>
  <c r="N21" s="1"/>
  <c r="O21" s="1"/>
  <c r="K22"/>
  <c r="N22" s="1"/>
  <c r="O22" s="1"/>
  <c r="K23"/>
  <c r="N23" s="1"/>
  <c r="O23" s="1"/>
  <c r="K24"/>
  <c r="N24" s="1"/>
  <c r="O24" s="1"/>
  <c r="K25"/>
  <c r="N25" s="1"/>
  <c r="O25" s="1"/>
  <c r="K26"/>
  <c r="N26" s="1"/>
  <c r="O26" s="1"/>
  <c r="K27"/>
  <c r="N27" s="1"/>
  <c r="O27" s="1"/>
  <c r="K28"/>
  <c r="N28" s="1"/>
  <c r="O28" s="1"/>
  <c r="K29"/>
  <c r="N29" s="1"/>
  <c r="O29" s="1"/>
  <c r="K30"/>
  <c r="N30" s="1"/>
  <c r="O30" s="1"/>
  <c r="K31"/>
  <c r="N31" s="1"/>
  <c r="O31" s="1"/>
  <c r="K32"/>
  <c r="N32" s="1"/>
  <c r="O32" s="1"/>
  <c r="K33"/>
  <c r="N33" s="1"/>
  <c r="O33" s="1"/>
  <c r="K34"/>
  <c r="N34" s="1"/>
  <c r="O34" s="1"/>
  <c r="K35"/>
  <c r="N35" s="1"/>
  <c r="O35" s="1"/>
  <c r="K36"/>
  <c r="N36" s="1"/>
  <c r="O36" s="1"/>
  <c r="K37"/>
  <c r="N37" s="1"/>
  <c r="O37" s="1"/>
  <c r="K38"/>
  <c r="N38" s="1"/>
  <c r="O38" s="1"/>
  <c r="K39"/>
  <c r="N39" s="1"/>
  <c r="O39" s="1"/>
  <c r="K40"/>
  <c r="N40" s="1"/>
  <c r="O40" s="1"/>
  <c r="K41"/>
  <c r="N41" s="1"/>
  <c r="O41" s="1"/>
  <c r="K42"/>
  <c r="N42" s="1"/>
  <c r="O42" s="1"/>
  <c r="K43"/>
  <c r="N43" s="1"/>
  <c r="O43" s="1"/>
  <c r="K44"/>
  <c r="N44" s="1"/>
  <c r="O44" s="1"/>
  <c r="N45"/>
  <c r="O45" s="1"/>
  <c r="K45"/>
  <c r="K46"/>
  <c r="N46" s="1"/>
  <c r="O46" s="1"/>
  <c r="K47"/>
  <c r="N47" s="1"/>
  <c r="O47" s="1"/>
  <c r="K48"/>
  <c r="N48" s="1"/>
  <c r="O48" s="1"/>
  <c r="K49"/>
  <c r="N49" s="1"/>
  <c r="O49" s="1"/>
  <c r="K50"/>
  <c r="N50" s="1"/>
  <c r="O50" s="1"/>
  <c r="K51"/>
  <c r="N51" s="1"/>
  <c r="O51" s="1"/>
  <c r="K52"/>
  <c r="N52" s="1"/>
  <c r="O52" s="1"/>
  <c r="K53"/>
  <c r="N53" s="1"/>
  <c r="O53" s="1"/>
  <c r="K54"/>
  <c r="N54" s="1"/>
  <c r="O54" s="1"/>
  <c r="K55"/>
  <c r="N55" s="1"/>
  <c r="O55" s="1"/>
  <c r="K56"/>
  <c r="N56" s="1"/>
  <c r="O56" s="1"/>
  <c r="K57"/>
  <c r="N57" s="1"/>
  <c r="O57" s="1"/>
  <c r="K58"/>
  <c r="N58" s="1"/>
  <c r="O58" s="1"/>
  <c r="K59"/>
  <c r="N59" s="1"/>
  <c r="O59" s="1"/>
  <c r="K60"/>
  <c r="N60" s="1"/>
  <c r="O60" s="1"/>
  <c r="K61"/>
  <c r="N61" s="1"/>
  <c r="O61" s="1"/>
  <c r="K62"/>
  <c r="N62" s="1"/>
  <c r="O62" s="1"/>
  <c r="K63"/>
  <c r="N63" s="1"/>
  <c r="O63" s="1"/>
  <c r="K64"/>
  <c r="N64" s="1"/>
  <c r="O64" s="1"/>
  <c r="K65"/>
  <c r="N65" s="1"/>
  <c r="O65" s="1"/>
  <c r="K66"/>
  <c r="N66" s="1"/>
  <c r="O66" s="1"/>
  <c r="K67"/>
  <c r="N67" s="1"/>
  <c r="O67" s="1"/>
  <c r="K68"/>
  <c r="N68" s="1"/>
  <c r="O68" s="1"/>
  <c r="K69"/>
  <c r="N69" s="1"/>
  <c r="O69" s="1"/>
  <c r="K70"/>
  <c r="N70" s="1"/>
  <c r="O70" s="1"/>
  <c r="K71"/>
  <c r="N71" s="1"/>
  <c r="O71" s="1"/>
  <c r="K72"/>
  <c r="N72" s="1"/>
  <c r="O72" s="1"/>
  <c r="K73"/>
  <c r="N73" s="1"/>
  <c r="O73" s="1"/>
  <c r="K74"/>
  <c r="N74" s="1"/>
  <c r="O74" s="1"/>
  <c r="K75"/>
  <c r="N75" s="1"/>
  <c r="O75" s="1"/>
  <c r="N76"/>
  <c r="O76" s="1"/>
  <c r="K76"/>
  <c r="K77"/>
  <c r="N77" s="1"/>
  <c r="O77" s="1"/>
  <c r="K78"/>
  <c r="N78" s="1"/>
  <c r="O78" s="1"/>
  <c r="K79"/>
  <c r="N79" s="1"/>
  <c r="O79" s="1"/>
  <c r="K80"/>
  <c r="N80" s="1"/>
  <c r="O80" s="1"/>
  <c r="K81"/>
  <c r="N81" s="1"/>
  <c r="O81" s="1"/>
  <c r="K82"/>
  <c r="N82" s="1"/>
  <c r="O82" s="1"/>
  <c r="K83"/>
  <c r="N83" s="1"/>
  <c r="O83" s="1"/>
  <c r="K84"/>
  <c r="N84" s="1"/>
  <c r="O84" s="1"/>
  <c r="K85"/>
  <c r="N85" s="1"/>
  <c r="O85" s="1"/>
  <c r="K86"/>
  <c r="N86" s="1"/>
  <c r="O86" s="1"/>
  <c r="K87"/>
  <c r="N87" s="1"/>
  <c r="O87" s="1"/>
  <c r="K88"/>
  <c r="N88" s="1"/>
  <c r="O88" s="1"/>
  <c r="K89"/>
  <c r="N89" s="1"/>
  <c r="O89" s="1"/>
  <c r="K90"/>
  <c r="N90" s="1"/>
  <c r="O90" s="1"/>
  <c r="K91"/>
  <c r="N91" s="1"/>
  <c r="O91" s="1"/>
  <c r="K92"/>
  <c r="N92" s="1"/>
  <c r="O92" s="1"/>
  <c r="K93"/>
  <c r="N93" s="1"/>
  <c r="O93" s="1"/>
  <c r="K94"/>
  <c r="N94" s="1"/>
  <c r="O94" s="1"/>
  <c r="K95"/>
  <c r="N95" s="1"/>
  <c r="O95" s="1"/>
  <c r="K96"/>
  <c r="N96" s="1"/>
  <c r="O96" s="1"/>
  <c r="K97"/>
  <c r="N97" s="1"/>
  <c r="O97" s="1"/>
  <c r="K98"/>
  <c r="N98" s="1"/>
  <c r="O98" s="1"/>
  <c r="K99"/>
  <c r="N99" s="1"/>
  <c r="O99" s="1"/>
  <c r="K100"/>
  <c r="N100" s="1"/>
  <c r="O100" s="1"/>
  <c r="K101"/>
  <c r="N101" s="1"/>
  <c r="O101" s="1"/>
  <c r="K102"/>
  <c r="N102" s="1"/>
  <c r="O102" s="1"/>
  <c r="K103"/>
  <c r="N103" s="1"/>
  <c r="O103" s="1"/>
  <c r="K104"/>
  <c r="N104" s="1"/>
  <c r="O104" s="1"/>
  <c r="K105"/>
  <c r="N105" s="1"/>
  <c r="O105" s="1"/>
  <c r="K106"/>
  <c r="N106" s="1"/>
  <c r="O106" s="1"/>
  <c r="K107"/>
  <c r="N107" s="1"/>
  <c r="O107" s="1"/>
  <c r="K108"/>
  <c r="N108" s="1"/>
  <c r="O108" s="1"/>
  <c r="K109"/>
  <c r="N109" s="1"/>
  <c r="O109" s="1"/>
  <c r="K110"/>
  <c r="N110" s="1"/>
  <c r="O110" s="1"/>
  <c r="K111"/>
  <c r="N111" s="1"/>
  <c r="O111" s="1"/>
  <c r="K112"/>
  <c r="N112" s="1"/>
  <c r="O112" s="1"/>
  <c r="K113"/>
  <c r="N113" s="1"/>
  <c r="O113" s="1"/>
  <c r="K114"/>
  <c r="N114" s="1"/>
  <c r="O114" s="1"/>
  <c r="K115"/>
  <c r="N115" s="1"/>
  <c r="O115" s="1"/>
  <c r="K116"/>
  <c r="N116" s="1"/>
  <c r="O116" s="1"/>
  <c r="K117"/>
  <c r="N117" s="1"/>
  <c r="O117" s="1"/>
  <c r="K118"/>
  <c r="N118" s="1"/>
  <c r="O118" s="1"/>
  <c r="K119"/>
  <c r="N119" s="1"/>
  <c r="O119" s="1"/>
  <c r="K120"/>
  <c r="N120" s="1"/>
  <c r="O120" s="1"/>
  <c r="K121"/>
  <c r="N121" s="1"/>
  <c r="O121" s="1"/>
  <c r="K122"/>
  <c r="N122" s="1"/>
  <c r="O122" s="1"/>
  <c r="K123"/>
  <c r="N123" s="1"/>
  <c r="O123" s="1"/>
  <c r="K124"/>
  <c r="N124" s="1"/>
  <c r="O124" s="1"/>
  <c r="K125"/>
  <c r="N125" s="1"/>
  <c r="O125" s="1"/>
  <c r="K126"/>
  <c r="N126" s="1"/>
  <c r="O126" s="1"/>
  <c r="K127"/>
  <c r="N127" s="1"/>
  <c r="O127" s="1"/>
  <c r="K128"/>
  <c r="N128" s="1"/>
  <c r="O128" s="1"/>
  <c r="K129"/>
  <c r="N129" s="1"/>
  <c r="O129" s="1"/>
  <c r="K130"/>
  <c r="N130" s="1"/>
  <c r="O130" s="1"/>
  <c r="K131"/>
  <c r="N131" s="1"/>
  <c r="O131" s="1"/>
  <c r="K132"/>
  <c r="N132" s="1"/>
  <c r="O132" s="1"/>
  <c r="K133"/>
  <c r="N133" s="1"/>
  <c r="O133" s="1"/>
  <c r="K134"/>
  <c r="N134" s="1"/>
  <c r="O134" s="1"/>
  <c r="K135"/>
  <c r="N135" s="1"/>
  <c r="O135" s="1"/>
  <c r="K136"/>
  <c r="N136" s="1"/>
  <c r="O136" s="1"/>
  <c r="K137"/>
  <c r="N137" s="1"/>
  <c r="O137" s="1"/>
  <c r="K138"/>
  <c r="N138" s="1"/>
  <c r="O138" s="1"/>
  <c r="K139"/>
  <c r="N139" s="1"/>
  <c r="O139" s="1"/>
  <c r="K140"/>
  <c r="N140" s="1"/>
  <c r="O140" s="1"/>
  <c r="K141"/>
  <c r="N141" s="1"/>
  <c r="O141" s="1"/>
  <c r="K142"/>
  <c r="N142" s="1"/>
  <c r="O142" s="1"/>
  <c r="K143"/>
  <c r="N143" s="1"/>
  <c r="O143" s="1"/>
  <c r="K144"/>
  <c r="N144" s="1"/>
  <c r="O144" s="1"/>
  <c r="K145"/>
  <c r="N145" s="1"/>
  <c r="O145" s="1"/>
  <c r="K146"/>
  <c r="N146" s="1"/>
  <c r="O146" s="1"/>
  <c r="K147"/>
  <c r="N147" s="1"/>
  <c r="O147" s="1"/>
  <c r="K148"/>
  <c r="N148" s="1"/>
  <c r="O148" s="1"/>
  <c r="K149"/>
  <c r="N149" s="1"/>
  <c r="O149" s="1"/>
  <c r="K150"/>
  <c r="N150" s="1"/>
  <c r="O150" s="1"/>
  <c r="K151"/>
  <c r="N151" s="1"/>
  <c r="O151" s="1"/>
  <c r="M152"/>
  <c r="L152"/>
  <c r="K152"/>
  <c r="K153"/>
  <c r="M154"/>
  <c r="L154"/>
  <c r="K154"/>
  <c r="K155"/>
  <c r="N155" s="1"/>
  <c r="O155" s="1"/>
  <c r="K156"/>
  <c r="M157"/>
  <c r="L157"/>
  <c r="M158"/>
  <c r="L158"/>
  <c r="K158"/>
  <c r="K157"/>
  <c r="K159"/>
  <c r="N159" s="1"/>
  <c r="O159" s="1"/>
  <c r="K160"/>
  <c r="M161"/>
  <c r="L161"/>
  <c r="L163"/>
  <c r="K161"/>
  <c r="K162"/>
  <c r="N162" s="1"/>
  <c r="O162" s="1"/>
  <c r="K163"/>
  <c r="K164"/>
  <c r="N164" s="1"/>
  <c r="O164" s="1"/>
  <c r="K165"/>
  <c r="N165" s="1"/>
  <c r="O165" s="1"/>
  <c r="K166"/>
  <c r="K167"/>
  <c r="N167" s="1"/>
  <c r="O167" s="1"/>
  <c r="L168"/>
  <c r="K168"/>
  <c r="N168" s="1"/>
  <c r="O168" s="1"/>
  <c r="K169"/>
  <c r="N169" s="1"/>
  <c r="O169" s="1"/>
  <c r="L170"/>
  <c r="L172"/>
  <c r="K170"/>
  <c r="K171"/>
  <c r="N171" s="1"/>
  <c r="O171" s="1"/>
  <c r="K172"/>
  <c r="K173"/>
  <c r="N173" s="1"/>
  <c r="O173" s="1"/>
  <c r="K174"/>
  <c r="N174" s="1"/>
  <c r="O174" s="1"/>
  <c r="K175"/>
  <c r="N175" s="1"/>
  <c r="O175" s="1"/>
  <c r="L178"/>
  <c r="K176"/>
  <c r="N176" s="1"/>
  <c r="O176" s="1"/>
  <c r="K177"/>
  <c r="N177" s="1"/>
  <c r="O177" s="1"/>
  <c r="K178"/>
  <c r="L180"/>
  <c r="K179"/>
  <c r="N179" s="1"/>
  <c r="O179" s="1"/>
  <c r="K180"/>
  <c r="L185"/>
  <c r="K181"/>
  <c r="N181" s="1"/>
  <c r="O181" s="1"/>
  <c r="K182"/>
  <c r="N182" s="1"/>
  <c r="O182" s="1"/>
  <c r="K183"/>
  <c r="N183" s="1"/>
  <c r="O183" s="1"/>
  <c r="K184"/>
  <c r="N184" s="1"/>
  <c r="O184" s="1"/>
  <c r="K185"/>
  <c r="L188"/>
  <c r="K186"/>
  <c r="N186" s="1"/>
  <c r="O186" s="1"/>
  <c r="K187"/>
  <c r="N187" s="1"/>
  <c r="O187" s="1"/>
  <c r="K188"/>
  <c r="L190"/>
  <c r="K189"/>
  <c r="N189" s="1"/>
  <c r="O189" s="1"/>
  <c r="K190"/>
  <c r="L192"/>
  <c r="K191"/>
  <c r="N191" s="1"/>
  <c r="O191" s="1"/>
  <c r="K192"/>
  <c r="L194"/>
  <c r="L195"/>
  <c r="K193"/>
  <c r="N193" s="1"/>
  <c r="O193" s="1"/>
  <c r="K194"/>
  <c r="K195"/>
  <c r="K196"/>
  <c r="N196" s="1"/>
  <c r="O196" s="1"/>
  <c r="L200"/>
  <c r="K197"/>
  <c r="N197" s="1"/>
  <c r="O197" s="1"/>
  <c r="K198"/>
  <c r="N198" s="1"/>
  <c r="O198" s="1"/>
  <c r="K199"/>
  <c r="N199" s="1"/>
  <c r="O199" s="1"/>
  <c r="K200"/>
  <c r="L202"/>
  <c r="K201"/>
  <c r="N201" s="1"/>
  <c r="O201" s="1"/>
  <c r="K202"/>
  <c r="K203"/>
  <c r="K204"/>
  <c r="N204" s="1"/>
  <c r="O204" s="1"/>
  <c r="L205"/>
  <c r="K205"/>
  <c r="K206"/>
  <c r="N206" s="1"/>
  <c r="O206" s="1"/>
  <c r="K207"/>
  <c r="N207" s="1"/>
  <c r="O207" s="1"/>
  <c r="K208"/>
  <c r="N208" s="1"/>
  <c r="O208" s="1"/>
  <c r="K209"/>
  <c r="N209" s="1"/>
  <c r="O209" s="1"/>
  <c r="L210"/>
  <c r="K210"/>
  <c r="K211"/>
  <c r="N157" l="1"/>
  <c r="N152"/>
  <c r="O152" s="1"/>
  <c r="N153"/>
  <c r="O153" s="1"/>
  <c r="N154"/>
  <c r="O154" s="1"/>
  <c r="N156"/>
  <c r="O156" s="1"/>
  <c r="O157"/>
  <c r="N158"/>
  <c r="O158" s="1"/>
  <c r="N160"/>
  <c r="O160" s="1"/>
  <c r="N161"/>
  <c r="O161" s="1"/>
  <c r="N163"/>
  <c r="O163" s="1"/>
  <c r="N166"/>
  <c r="O166" s="1"/>
  <c r="N170"/>
  <c r="O170" s="1"/>
  <c r="N172"/>
  <c r="O172" s="1"/>
  <c r="N178"/>
  <c r="O178" s="1"/>
  <c r="N180"/>
  <c r="O180" s="1"/>
  <c r="N185"/>
  <c r="O185" s="1"/>
  <c r="N188"/>
  <c r="O188" s="1"/>
  <c r="N190"/>
  <c r="O190" s="1"/>
  <c r="N192"/>
  <c r="O192" s="1"/>
  <c r="N194"/>
  <c r="O194" s="1"/>
  <c r="N195"/>
  <c r="O195" s="1"/>
  <c r="N200"/>
  <c r="O200" s="1"/>
  <c r="N202"/>
  <c r="O202" s="1"/>
  <c r="N203"/>
  <c r="O203" s="1"/>
  <c r="N205"/>
  <c r="O205" s="1"/>
  <c r="N210"/>
  <c r="O210" s="1"/>
  <c r="N211"/>
  <c r="O211" s="1"/>
  <c r="L212"/>
  <c r="K212"/>
  <c r="L213"/>
  <c r="K213"/>
  <c r="L214"/>
  <c r="K214"/>
  <c r="L215"/>
  <c r="K215"/>
  <c r="K216"/>
  <c r="N216" s="1"/>
  <c r="O216" s="1"/>
  <c r="K217"/>
  <c r="N217" s="1"/>
  <c r="O217" s="1"/>
  <c r="K218"/>
  <c r="N218" s="1"/>
  <c r="O218" s="1"/>
  <c r="K219"/>
  <c r="N219" s="1"/>
  <c r="O219" s="1"/>
  <c r="K220"/>
  <c r="N220" s="1"/>
  <c r="O220" s="1"/>
  <c r="K221"/>
  <c r="N221" s="1"/>
  <c r="O221" s="1"/>
  <c r="K222"/>
  <c r="N222" s="1"/>
  <c r="O222" s="1"/>
  <c r="K223"/>
  <c r="N223" s="1"/>
  <c r="O223" s="1"/>
  <c r="K224"/>
  <c r="N224" s="1"/>
  <c r="O224" s="1"/>
  <c r="K225"/>
  <c r="N225" s="1"/>
  <c r="O225" s="1"/>
  <c r="N215" l="1"/>
  <c r="O215" s="1"/>
  <c r="N212"/>
  <c r="O212" s="1"/>
  <c r="N213"/>
  <c r="O213" s="1"/>
  <c r="N214"/>
  <c r="O214" s="1"/>
  <c r="K226"/>
  <c r="N226" s="1"/>
  <c r="O226" s="1"/>
  <c r="K227"/>
  <c r="N227" s="1"/>
  <c r="O227" s="1"/>
  <c r="K228"/>
  <c r="L229"/>
  <c r="K229"/>
  <c r="L230"/>
  <c r="K230"/>
  <c r="K231"/>
  <c r="N231" s="1"/>
  <c r="O231" s="1"/>
  <c r="K232"/>
  <c r="N232" s="1"/>
  <c r="O232" s="1"/>
  <c r="K233"/>
  <c r="N233" s="1"/>
  <c r="O233" s="1"/>
  <c r="K234"/>
  <c r="N234" s="1"/>
  <c r="O234" s="1"/>
  <c r="K235"/>
  <c r="L236"/>
  <c r="K236"/>
  <c r="K237"/>
  <c r="N237" s="1"/>
  <c r="O237" s="1"/>
  <c r="L238"/>
  <c r="K238"/>
  <c r="K239"/>
  <c r="L240"/>
  <c r="K240"/>
  <c r="K241"/>
  <c r="N241" s="1"/>
  <c r="O241" s="1"/>
  <c r="N240" l="1"/>
  <c r="O240" s="1"/>
  <c r="N230"/>
  <c r="O230" s="1"/>
  <c r="N238"/>
  <c r="O238" s="1"/>
  <c r="N236"/>
  <c r="O236" s="1"/>
  <c r="N228"/>
  <c r="O228" s="1"/>
  <c r="N229"/>
  <c r="O229" s="1"/>
  <c r="N235"/>
  <c r="O235" s="1"/>
  <c r="N239"/>
  <c r="O239" s="1"/>
  <c r="K242"/>
  <c r="N242" s="1"/>
  <c r="O242" s="1"/>
  <c r="K243"/>
  <c r="N243" s="1"/>
  <c r="O243" s="1"/>
  <c r="K244"/>
  <c r="N244" s="1"/>
  <c r="O244" s="1"/>
  <c r="K245"/>
  <c r="N245" s="1"/>
  <c r="O245" s="1"/>
  <c r="L247"/>
  <c r="K246"/>
  <c r="N246" s="1"/>
  <c r="O246" s="1"/>
  <c r="K247"/>
  <c r="K248"/>
  <c r="N248" s="1"/>
  <c r="O248" s="1"/>
  <c r="K249"/>
  <c r="L250"/>
  <c r="K250"/>
  <c r="K251"/>
  <c r="K252"/>
  <c r="N252" s="1"/>
  <c r="O252" s="1"/>
  <c r="K253"/>
  <c r="N253" s="1"/>
  <c r="O253" s="1"/>
  <c r="K254"/>
  <c r="N254" s="1"/>
  <c r="O254" s="1"/>
  <c r="K255"/>
  <c r="N255" s="1"/>
  <c r="O255" s="1"/>
  <c r="K256"/>
  <c r="N256" s="1"/>
  <c r="O256" s="1"/>
  <c r="K257"/>
  <c r="K258"/>
  <c r="K259"/>
  <c r="K260"/>
  <c r="K261"/>
  <c r="K262"/>
  <c r="N250" l="1"/>
  <c r="O250" s="1"/>
  <c r="N247"/>
  <c r="O247" s="1"/>
  <c r="N249"/>
  <c r="O249" s="1"/>
  <c r="N251"/>
  <c r="O251" s="1"/>
  <c r="N260"/>
  <c r="O260" s="1"/>
  <c r="N257"/>
  <c r="O257" s="1"/>
  <c r="N258"/>
  <c r="O258" s="1"/>
  <c r="N262"/>
  <c r="O262" s="1"/>
  <c r="N259"/>
  <c r="O259" s="1"/>
  <c r="N261"/>
  <c r="O261" s="1"/>
  <c r="L263"/>
  <c r="K263"/>
  <c r="L264"/>
  <c r="K264"/>
  <c r="L265"/>
  <c r="K265"/>
  <c r="L266"/>
  <c r="K266"/>
  <c r="N266" s="1"/>
  <c r="O266" s="1"/>
  <c r="K267"/>
  <c r="N267" s="1"/>
  <c r="O267" s="1"/>
  <c r="K268"/>
  <c r="N268" s="1"/>
  <c r="O268" s="1"/>
  <c r="K269"/>
  <c r="N269" s="1"/>
  <c r="O269" s="1"/>
  <c r="K270"/>
  <c r="N270" s="1"/>
  <c r="O270" s="1"/>
  <c r="K271"/>
  <c r="N271" s="1"/>
  <c r="O271" s="1"/>
  <c r="K272"/>
  <c r="N272" s="1"/>
  <c r="O272" s="1"/>
  <c r="K273"/>
  <c r="N273" s="1"/>
  <c r="O273" s="1"/>
  <c r="K274"/>
  <c r="N274" s="1"/>
  <c r="O274" s="1"/>
  <c r="K275"/>
  <c r="L276"/>
  <c r="K276"/>
  <c r="K277"/>
  <c r="N277" s="1"/>
  <c r="O277" s="1"/>
  <c r="K278"/>
  <c r="N278" s="1"/>
  <c r="O278" s="1"/>
  <c r="K279"/>
  <c r="N279" s="1"/>
  <c r="O279" s="1"/>
  <c r="K280"/>
  <c r="L281"/>
  <c r="K281"/>
  <c r="K282"/>
  <c r="N282" s="1"/>
  <c r="O282" s="1"/>
  <c r="L283"/>
  <c r="K283"/>
  <c r="N283" s="1"/>
  <c r="O283" s="1"/>
  <c r="K284"/>
  <c r="N284" s="1"/>
  <c r="O284" s="1"/>
  <c r="K285"/>
  <c r="N285" s="1"/>
  <c r="O285" s="1"/>
  <c r="K286"/>
  <c r="N286" s="1"/>
  <c r="O286" s="1"/>
  <c r="K287"/>
  <c r="N287" s="1"/>
  <c r="O287" s="1"/>
  <c r="K288"/>
  <c r="N288" s="1"/>
  <c r="O288" s="1"/>
  <c r="N263" l="1"/>
  <c r="O263" s="1"/>
  <c r="N264"/>
  <c r="O264" s="1"/>
  <c r="N265"/>
  <c r="O265" s="1"/>
  <c r="N275"/>
  <c r="O275" s="1"/>
  <c r="N276"/>
  <c r="O276" s="1"/>
  <c r="N280"/>
  <c r="O280" s="1"/>
  <c r="N281"/>
  <c r="O281" s="1"/>
  <c r="K289"/>
  <c r="L290"/>
  <c r="K290"/>
  <c r="N289" l="1"/>
  <c r="O289" s="1"/>
  <c r="N290"/>
  <c r="O290" s="1"/>
  <c r="L291"/>
  <c r="K291"/>
  <c r="L292"/>
  <c r="K292"/>
  <c r="N292" s="1"/>
  <c r="O292" s="1"/>
  <c r="K293"/>
  <c r="N293" s="1"/>
  <c r="O293" s="1"/>
  <c r="K294"/>
  <c r="N294" s="1"/>
  <c r="O294" s="1"/>
  <c r="K295"/>
  <c r="N295" s="1"/>
  <c r="O295" s="1"/>
  <c r="K296"/>
  <c r="N296" s="1"/>
  <c r="O296" s="1"/>
  <c r="K297"/>
  <c r="N297" s="1"/>
  <c r="O297" s="1"/>
  <c r="K298"/>
  <c r="N298" s="1"/>
  <c r="O298" s="1"/>
  <c r="K299"/>
  <c r="N299" s="1"/>
  <c r="O299" s="1"/>
  <c r="K300"/>
  <c r="N300" s="1"/>
  <c r="O300" s="1"/>
  <c r="N291" l="1"/>
  <c r="O291" s="1"/>
  <c r="K301"/>
  <c r="N301" s="1"/>
  <c r="O301" s="1"/>
  <c r="K302"/>
  <c r="L303"/>
  <c r="K303"/>
  <c r="K304"/>
  <c r="L305"/>
  <c r="K305"/>
  <c r="N305" s="1"/>
  <c r="O305" s="1"/>
  <c r="K306"/>
  <c r="N306" s="1"/>
  <c r="O306" s="1"/>
  <c r="K307"/>
  <c r="N307" s="1"/>
  <c r="O307" s="1"/>
  <c r="K308"/>
  <c r="N308" s="1"/>
  <c r="O308" s="1"/>
  <c r="N303" l="1"/>
  <c r="O303" s="1"/>
  <c r="N302"/>
  <c r="O302" s="1"/>
  <c r="N304"/>
  <c r="O304" s="1"/>
  <c r="K309"/>
  <c r="N309" s="1"/>
  <c r="O309" s="1"/>
  <c r="K310"/>
  <c r="N310" s="1"/>
  <c r="O310" s="1"/>
  <c r="K311"/>
  <c r="N311" s="1"/>
  <c r="O311" s="1"/>
  <c r="K312"/>
  <c r="N312" s="1"/>
  <c r="O312" s="1"/>
  <c r="K313"/>
  <c r="L314"/>
  <c r="K314"/>
  <c r="L315"/>
  <c r="K315"/>
  <c r="L316"/>
  <c r="K316"/>
  <c r="N316" s="1"/>
  <c r="O316" s="1"/>
  <c r="K317"/>
  <c r="N317" s="1"/>
  <c r="O317" s="1"/>
  <c r="K318"/>
  <c r="L319"/>
  <c r="K319"/>
  <c r="K320"/>
  <c r="N320" s="1"/>
  <c r="O320" s="1"/>
  <c r="K321"/>
  <c r="N321" s="1"/>
  <c r="O321" s="1"/>
  <c r="N313" l="1"/>
  <c r="O313" s="1"/>
  <c r="N314"/>
  <c r="O314" s="1"/>
  <c r="N315"/>
  <c r="O315" s="1"/>
  <c r="N318"/>
  <c r="O318" s="1"/>
  <c r="N319"/>
  <c r="O319" s="1"/>
  <c r="K322"/>
  <c r="N322" s="1"/>
  <c r="O322" s="1"/>
  <c r="K323"/>
  <c r="L324"/>
  <c r="K324"/>
  <c r="L325"/>
  <c r="K325"/>
  <c r="L326"/>
  <c r="K326"/>
  <c r="L327"/>
  <c r="K327"/>
  <c r="L328"/>
  <c r="K328"/>
  <c r="L329"/>
  <c r="K329"/>
  <c r="K330"/>
  <c r="N330" s="1"/>
  <c r="O330" s="1"/>
  <c r="K331"/>
  <c r="N331" s="1"/>
  <c r="O331" s="1"/>
  <c r="K332"/>
  <c r="L333"/>
  <c r="K333"/>
  <c r="K334"/>
  <c r="N334" s="1"/>
  <c r="O334" s="1"/>
  <c r="K335"/>
  <c r="N335" s="1"/>
  <c r="O335" s="1"/>
  <c r="K336"/>
  <c r="N336" s="1"/>
  <c r="O336" s="1"/>
  <c r="K343"/>
  <c r="N343" s="1"/>
  <c r="O343" s="1"/>
  <c r="K337"/>
  <c r="N337" s="1"/>
  <c r="O337" s="1"/>
  <c r="K338"/>
  <c r="N338" s="1"/>
  <c r="O338" s="1"/>
  <c r="K339"/>
  <c r="N339" s="1"/>
  <c r="O339" s="1"/>
  <c r="K340"/>
  <c r="N340" s="1"/>
  <c r="O340" s="1"/>
  <c r="K341"/>
  <c r="N341" s="1"/>
  <c r="O341" s="1"/>
  <c r="K342"/>
  <c r="N342" s="1"/>
  <c r="O342" s="1"/>
  <c r="K344"/>
  <c r="N344" s="1"/>
  <c r="O344" s="1"/>
  <c r="L345"/>
  <c r="K345"/>
  <c r="K346"/>
  <c r="L347"/>
  <c r="K347"/>
  <c r="K348"/>
  <c r="N348" s="1"/>
  <c r="O348" s="1"/>
  <c r="K349"/>
  <c r="N349" s="1"/>
  <c r="O349" s="1"/>
  <c r="K350"/>
  <c r="N350" s="1"/>
  <c r="O350" s="1"/>
  <c r="K351"/>
  <c r="N351" s="1"/>
  <c r="O351" s="1"/>
  <c r="K352"/>
  <c r="N352" s="1"/>
  <c r="O352" s="1"/>
  <c r="K353"/>
  <c r="N353" s="1"/>
  <c r="O353" s="1"/>
  <c r="K354"/>
  <c r="N354" s="1"/>
  <c r="O354" s="1"/>
  <c r="K355"/>
  <c r="N355" s="1"/>
  <c r="O355" s="1"/>
  <c r="N323" l="1"/>
  <c r="O323" s="1"/>
  <c r="N333"/>
  <c r="O333" s="1"/>
  <c r="N324"/>
  <c r="O324" s="1"/>
  <c r="N325"/>
  <c r="O325" s="1"/>
  <c r="N326"/>
  <c r="O326" s="1"/>
  <c r="N327"/>
  <c r="O327" s="1"/>
  <c r="N328"/>
  <c r="O328" s="1"/>
  <c r="N329"/>
  <c r="O329" s="1"/>
  <c r="N332"/>
  <c r="O332" s="1"/>
  <c r="N347"/>
  <c r="O347" s="1"/>
  <c r="N345"/>
  <c r="O345" s="1"/>
  <c r="N346"/>
  <c r="O346" s="1"/>
  <c r="K356"/>
  <c r="L357"/>
  <c r="K357"/>
  <c r="K358"/>
  <c r="N358" s="1"/>
  <c r="O358" s="1"/>
  <c r="K359"/>
  <c r="N359" s="1"/>
  <c r="O359" s="1"/>
  <c r="K360"/>
  <c r="N360" s="1"/>
  <c r="O360" s="1"/>
  <c r="K361"/>
  <c r="N361" s="1"/>
  <c r="O361" s="1"/>
  <c r="K362"/>
  <c r="N362" s="1"/>
  <c r="O362" s="1"/>
  <c r="K363"/>
  <c r="N363" s="1"/>
  <c r="O363" s="1"/>
  <c r="K364"/>
  <c r="N364" s="1"/>
  <c r="O364" s="1"/>
  <c r="K365"/>
  <c r="N365" s="1"/>
  <c r="O365" s="1"/>
  <c r="K366"/>
  <c r="N366" s="1"/>
  <c r="O366" s="1"/>
  <c r="L367"/>
  <c r="K367"/>
  <c r="K368"/>
  <c r="N368" s="1"/>
  <c r="O368" s="1"/>
  <c r="K369"/>
  <c r="N369" s="1"/>
  <c r="O369" s="1"/>
  <c r="K370"/>
  <c r="L371"/>
  <c r="K371"/>
  <c r="K372"/>
  <c r="N372" s="1"/>
  <c r="O372" s="1"/>
  <c r="L373"/>
  <c r="K373"/>
  <c r="K374"/>
  <c r="N374" s="1"/>
  <c r="O374" s="1"/>
  <c r="K375"/>
  <c r="L376"/>
  <c r="K376"/>
  <c r="K377"/>
  <c r="N377" s="1"/>
  <c r="O377" s="1"/>
  <c r="K378"/>
  <c r="N378" s="1"/>
  <c r="O378" s="1"/>
  <c r="K379"/>
  <c r="N379" s="1"/>
  <c r="O379" s="1"/>
  <c r="K380"/>
  <c r="N380" s="1"/>
  <c r="O380" s="1"/>
  <c r="K381"/>
  <c r="N381" s="1"/>
  <c r="O381" s="1"/>
  <c r="K382"/>
  <c r="N382" s="1"/>
  <c r="O382" s="1"/>
  <c r="K383"/>
  <c r="N383" s="1"/>
  <c r="O383" s="1"/>
  <c r="K384"/>
  <c r="N384" s="1"/>
  <c r="O384" s="1"/>
  <c r="K385"/>
  <c r="N385" s="1"/>
  <c r="O385" s="1"/>
  <c r="K386"/>
  <c r="N386" s="1"/>
  <c r="O386" s="1"/>
  <c r="L387"/>
  <c r="K387"/>
  <c r="K388"/>
  <c r="N388" s="1"/>
  <c r="O388" s="1"/>
  <c r="L389"/>
  <c r="K389"/>
  <c r="K390"/>
  <c r="N390" s="1"/>
  <c r="O390" s="1"/>
  <c r="L391"/>
  <c r="K391"/>
  <c r="K392"/>
  <c r="N392" s="1"/>
  <c r="O392" s="1"/>
  <c r="L393"/>
  <c r="K393"/>
  <c r="K394"/>
  <c r="L395"/>
  <c r="K395"/>
  <c r="L396"/>
  <c r="K396"/>
  <c r="L397"/>
  <c r="K397"/>
  <c r="K398"/>
  <c r="N398" s="1"/>
  <c r="O398" s="1"/>
  <c r="K399"/>
  <c r="N399" s="1"/>
  <c r="O399" s="1"/>
  <c r="K400"/>
  <c r="N400" s="1"/>
  <c r="O400" s="1"/>
  <c r="K401"/>
  <c r="N401" s="1"/>
  <c r="O401" s="1"/>
  <c r="L402"/>
  <c r="K402"/>
  <c r="K403"/>
  <c r="N403" s="1"/>
  <c r="O403" s="1"/>
  <c r="K404"/>
  <c r="N404" s="1"/>
  <c r="O404" s="1"/>
  <c r="K405"/>
  <c r="N405" s="1"/>
  <c r="O405" s="1"/>
  <c r="K406"/>
  <c r="N406" s="1"/>
  <c r="O406" s="1"/>
  <c r="L407"/>
  <c r="K407"/>
  <c r="K408"/>
  <c r="N408" s="1"/>
  <c r="O408" s="1"/>
  <c r="L409"/>
  <c r="K409"/>
  <c r="K410"/>
  <c r="L411"/>
  <c r="K411"/>
  <c r="L412"/>
  <c r="K412"/>
  <c r="L413"/>
  <c r="K413"/>
  <c r="K414"/>
  <c r="N414" s="1"/>
  <c r="O414" s="1"/>
  <c r="K415"/>
  <c r="N415" s="1"/>
  <c r="O415" s="1"/>
  <c r="L416"/>
  <c r="K416"/>
  <c r="K417"/>
  <c r="N417" s="1"/>
  <c r="O417" s="1"/>
  <c r="K418"/>
  <c r="N418" s="1"/>
  <c r="O418" s="1"/>
  <c r="K419"/>
  <c r="N419" s="1"/>
  <c r="O419" s="1"/>
  <c r="K420"/>
  <c r="N420" s="1"/>
  <c r="O420" s="1"/>
  <c r="L421"/>
  <c r="K421"/>
  <c r="K422"/>
  <c r="N422" s="1"/>
  <c r="O422" s="1"/>
  <c r="K423"/>
  <c r="N423" s="1"/>
  <c r="O423" s="1"/>
  <c r="K424"/>
  <c r="N424" s="1"/>
  <c r="O424" s="1"/>
  <c r="K425"/>
  <c r="L426"/>
  <c r="K426"/>
  <c r="L427"/>
  <c r="K427"/>
  <c r="K428"/>
  <c r="N428" s="1"/>
  <c r="O428" s="1"/>
  <c r="K429"/>
  <c r="N429" s="1"/>
  <c r="O429" s="1"/>
  <c r="K430"/>
  <c r="N430" s="1"/>
  <c r="O430" s="1"/>
  <c r="K431"/>
  <c r="N431" s="1"/>
  <c r="O431" s="1"/>
  <c r="K432"/>
  <c r="N432" s="1"/>
  <c r="O432" s="1"/>
  <c r="K433"/>
  <c r="N433" s="1"/>
  <c r="O433" s="1"/>
  <c r="K434"/>
  <c r="N434" s="1"/>
  <c r="O434" s="1"/>
  <c r="K435"/>
  <c r="N435" s="1"/>
  <c r="O435" s="1"/>
  <c r="K436"/>
  <c r="N436" s="1"/>
  <c r="O436" s="1"/>
  <c r="K437"/>
  <c r="N437" s="1"/>
  <c r="O437" s="1"/>
  <c r="L438"/>
  <c r="K438"/>
  <c r="K439"/>
  <c r="N439" s="1"/>
  <c r="O439" s="1"/>
  <c r="K440"/>
  <c r="N440" s="1"/>
  <c r="O440" s="1"/>
  <c r="L441"/>
  <c r="K441"/>
  <c r="K442"/>
  <c r="N442" s="1"/>
  <c r="O442" s="1"/>
  <c r="K443"/>
  <c r="N443" s="1"/>
  <c r="O443" s="1"/>
  <c r="K444"/>
  <c r="N444" s="1"/>
  <c r="O444" s="1"/>
  <c r="K445"/>
  <c r="N445" s="1"/>
  <c r="O445" s="1"/>
  <c r="K446"/>
  <c r="N446" s="1"/>
  <c r="O446" s="1"/>
  <c r="K447"/>
  <c r="N447" s="1"/>
  <c r="O447" s="1"/>
  <c r="K448"/>
  <c r="N448" s="1"/>
  <c r="O448" s="1"/>
  <c r="K449"/>
  <c r="N449" s="1"/>
  <c r="O449" s="1"/>
  <c r="K450"/>
  <c r="N450" s="1"/>
  <c r="O450" s="1"/>
  <c r="L451"/>
  <c r="K451"/>
  <c r="L452"/>
  <c r="K452"/>
  <c r="K453"/>
  <c r="N453" s="1"/>
  <c r="O453" s="1"/>
  <c r="K454"/>
  <c r="N454" s="1"/>
  <c r="O454" s="1"/>
  <c r="K455"/>
  <c r="N455" s="1"/>
  <c r="O455" s="1"/>
  <c r="L456"/>
  <c r="K456"/>
  <c r="K457"/>
  <c r="N457" s="1"/>
  <c r="O457" s="1"/>
  <c r="K458"/>
  <c r="N458" s="1"/>
  <c r="O458" s="1"/>
  <c r="L459"/>
  <c r="K459"/>
  <c r="K460"/>
  <c r="N460" s="1"/>
  <c r="O460" s="1"/>
  <c r="K461"/>
  <c r="N461" s="1"/>
  <c r="O461" s="1"/>
  <c r="L462"/>
  <c r="K462"/>
  <c r="K463"/>
  <c r="L464"/>
  <c r="K464"/>
  <c r="K465"/>
  <c r="N465" s="1"/>
  <c r="O465" s="1"/>
  <c r="K466"/>
  <c r="N466" s="1"/>
  <c r="O466" s="1"/>
  <c r="L467"/>
  <c r="K467"/>
  <c r="L468"/>
  <c r="K468"/>
  <c r="K469"/>
  <c r="N469" s="1"/>
  <c r="O469" s="1"/>
  <c r="L470"/>
  <c r="K470"/>
  <c r="K471"/>
  <c r="N471" s="1"/>
  <c r="O471" s="1"/>
  <c r="K472"/>
  <c r="L473"/>
  <c r="K473"/>
  <c r="L474"/>
  <c r="K474"/>
  <c r="L475"/>
  <c r="K475"/>
  <c r="L476"/>
  <c r="K476"/>
  <c r="L477"/>
  <c r="K477"/>
  <c r="L478"/>
  <c r="K478"/>
  <c r="K479"/>
  <c r="K480"/>
  <c r="N480" s="1"/>
  <c r="O480" s="1"/>
  <c r="K481"/>
  <c r="N481" s="1"/>
  <c r="O481" s="1"/>
  <c r="K482"/>
  <c r="N482" s="1"/>
  <c r="O482" s="1"/>
  <c r="K483"/>
  <c r="N483" s="1"/>
  <c r="O483" s="1"/>
  <c r="K484"/>
  <c r="N484" s="1"/>
  <c r="O484" s="1"/>
  <c r="K485"/>
  <c r="N485" s="1"/>
  <c r="O485" s="1"/>
  <c r="K486"/>
  <c r="N486" s="1"/>
  <c r="O486" s="1"/>
  <c r="K487"/>
  <c r="N487" s="1"/>
  <c r="O487" s="1"/>
  <c r="K488"/>
  <c r="N488" s="1"/>
  <c r="O488" s="1"/>
  <c r="L489"/>
  <c r="K489"/>
  <c r="K490"/>
  <c r="N490" s="1"/>
  <c r="O490" s="1"/>
  <c r="K491"/>
  <c r="N491" s="1"/>
  <c r="O491" s="1"/>
  <c r="L493"/>
  <c r="K492"/>
  <c r="N492" s="1"/>
  <c r="O492" s="1"/>
  <c r="K493"/>
  <c r="K494"/>
  <c r="N494" s="1"/>
  <c r="O494" s="1"/>
  <c r="K495"/>
  <c r="N495" s="1"/>
  <c r="O495" s="1"/>
  <c r="K496"/>
  <c r="N496" s="1"/>
  <c r="O496" s="1"/>
  <c r="K497"/>
  <c r="N497" s="1"/>
  <c r="O497" s="1"/>
  <c r="K498"/>
  <c r="N498" s="1"/>
  <c r="O498" s="1"/>
  <c r="K499"/>
  <c r="N499" s="1"/>
  <c r="O499" s="1"/>
  <c r="K500"/>
  <c r="L501"/>
  <c r="K501"/>
  <c r="K502"/>
  <c r="N502" s="1"/>
  <c r="O502" s="1"/>
  <c r="K503"/>
  <c r="N503" s="1"/>
  <c r="O503" s="1"/>
  <c r="K504"/>
  <c r="N504" s="1"/>
  <c r="O504" s="1"/>
  <c r="K505"/>
  <c r="N505" s="1"/>
  <c r="O505" s="1"/>
  <c r="K506"/>
  <c r="N506" s="1"/>
  <c r="O506" s="1"/>
  <c r="K507"/>
  <c r="N507" s="1"/>
  <c r="O507" s="1"/>
  <c r="K508"/>
  <c r="N508" s="1"/>
  <c r="O508" s="1"/>
  <c r="K509"/>
  <c r="N509" s="1"/>
  <c r="O509" s="1"/>
  <c r="K510"/>
  <c r="N510" s="1"/>
  <c r="O510" s="1"/>
  <c r="K511"/>
  <c r="N511" s="1"/>
  <c r="O511" s="1"/>
  <c r="K512"/>
  <c r="N512" s="1"/>
  <c r="O512" s="1"/>
  <c r="K513"/>
  <c r="N513" s="1"/>
  <c r="O513" s="1"/>
  <c r="K514"/>
  <c r="N514" s="1"/>
  <c r="O514" s="1"/>
  <c r="K515"/>
  <c r="N515" s="1"/>
  <c r="O515" s="1"/>
  <c r="K516"/>
  <c r="N516" s="1"/>
  <c r="O516" s="1"/>
  <c r="K517"/>
  <c r="N517" s="1"/>
  <c r="O517" s="1"/>
  <c r="K518"/>
  <c r="N518" s="1"/>
  <c r="O518" s="1"/>
  <c r="K519"/>
  <c r="L520"/>
  <c r="K520"/>
  <c r="K521"/>
  <c r="N521" s="1"/>
  <c r="O521" s="1"/>
  <c r="K522"/>
  <c r="N522" s="1"/>
  <c r="O522" s="1"/>
  <c r="L523"/>
  <c r="K523"/>
  <c r="K524"/>
  <c r="N524" s="1"/>
  <c r="O524" s="1"/>
  <c r="L526"/>
  <c r="K526"/>
  <c r="K525"/>
  <c r="N525" s="1"/>
  <c r="O525" s="1"/>
  <c r="K528"/>
  <c r="N528" s="1"/>
  <c r="O528" s="1"/>
  <c r="K527"/>
  <c r="N527" s="1"/>
  <c r="O527" s="1"/>
  <c r="K529"/>
  <c r="N529" s="1"/>
  <c r="O529" s="1"/>
  <c r="K531"/>
  <c r="N531" s="1"/>
  <c r="O531" s="1"/>
  <c r="K530"/>
  <c r="N530" s="1"/>
  <c r="O530" s="1"/>
  <c r="K532"/>
  <c r="N532" s="1"/>
  <c r="O532" s="1"/>
  <c r="K533"/>
  <c r="N533" s="1"/>
  <c r="O533" s="1"/>
  <c r="K534"/>
  <c r="N534" s="1"/>
  <c r="O534" s="1"/>
  <c r="L536"/>
  <c r="K537"/>
  <c r="N537" s="1"/>
  <c r="O537" s="1"/>
  <c r="K536"/>
  <c r="K535"/>
  <c r="N535" s="1"/>
  <c r="O535" s="1"/>
  <c r="L539"/>
  <c r="K538"/>
  <c r="N538" s="1"/>
  <c r="O538" s="1"/>
  <c r="K539"/>
  <c r="L541"/>
  <c r="K541"/>
  <c r="K540"/>
  <c r="N540" s="1"/>
  <c r="O540" s="1"/>
  <c r="K542"/>
  <c r="N542" s="1"/>
  <c r="O542" s="1"/>
  <c r="K543"/>
  <c r="N543" s="1"/>
  <c r="O543" s="1"/>
  <c r="L544"/>
  <c r="L545"/>
  <c r="M586"/>
  <c r="M601"/>
  <c r="M604"/>
  <c r="M614"/>
  <c r="M630"/>
  <c r="M631"/>
  <c r="M636"/>
  <c r="M644"/>
  <c r="M649"/>
  <c r="M660"/>
  <c r="M740"/>
  <c r="M763"/>
  <c r="M769"/>
  <c r="M774"/>
  <c r="M804"/>
  <c r="M814"/>
  <c r="M837"/>
  <c r="M838"/>
  <c r="M840"/>
  <c r="M841"/>
  <c r="M850"/>
  <c r="M854"/>
  <c r="M857"/>
  <c r="M858"/>
  <c r="M861"/>
  <c r="M884"/>
  <c r="M890"/>
  <c r="M893"/>
  <c r="M902"/>
  <c r="M911"/>
  <c r="M939"/>
  <c r="M954"/>
  <c r="M984"/>
  <c r="M986"/>
  <c r="M1003"/>
  <c r="M1004"/>
  <c r="M1013"/>
  <c r="M1015"/>
  <c r="M1019"/>
  <c r="M1034"/>
  <c r="M1035"/>
  <c r="M1043"/>
  <c r="M1047"/>
  <c r="M1051"/>
  <c r="M1054"/>
  <c r="M1064"/>
  <c r="M1071"/>
  <c r="M1073"/>
  <c r="M1121"/>
  <c r="M1127"/>
  <c r="M1145"/>
  <c r="M1146"/>
  <c r="M1152"/>
  <c r="M1156"/>
  <c r="M1157"/>
  <c r="M1162"/>
  <c r="M1163"/>
  <c r="M1167"/>
  <c r="M1173"/>
  <c r="M1190"/>
  <c r="M1198"/>
  <c r="M1201"/>
  <c r="M1206"/>
  <c r="M1208"/>
  <c r="M1220"/>
  <c r="M1228"/>
  <c r="M1253"/>
  <c r="M1278"/>
  <c r="M1282"/>
  <c r="M1287"/>
  <c r="M1308"/>
  <c r="M1326"/>
  <c r="M1346"/>
  <c r="M1398"/>
  <c r="M1427"/>
  <c r="M1428"/>
  <c r="M1445"/>
  <c r="M1497"/>
  <c r="M1506"/>
  <c r="M1509"/>
  <c r="M1516"/>
  <c r="M1519"/>
  <c r="M1537"/>
  <c r="M1542"/>
  <c r="M1579"/>
  <c r="M1586"/>
  <c r="M1956"/>
  <c r="M1957"/>
  <c r="M1958"/>
  <c r="M1959"/>
  <c r="M1960"/>
  <c r="M1961"/>
  <c r="M1962"/>
  <c r="M1963"/>
  <c r="M1964"/>
  <c r="M1965"/>
  <c r="M1967"/>
  <c r="M1968"/>
  <c r="M1969"/>
  <c r="M1970"/>
  <c r="M1971"/>
  <c r="M1972"/>
  <c r="M1973"/>
  <c r="M1977"/>
  <c r="M1978"/>
  <c r="M1980"/>
  <c r="M1981"/>
  <c r="M1983"/>
  <c r="M1985"/>
  <c r="M1988"/>
  <c r="M1989"/>
  <c r="M1990"/>
  <c r="M1991"/>
  <c r="M1994"/>
  <c r="M1995"/>
  <c r="M1998"/>
  <c r="M1999"/>
  <c r="M2000"/>
  <c r="M2001"/>
  <c r="M2002"/>
  <c r="M2004"/>
  <c r="M2008"/>
  <c r="M2010"/>
  <c r="M2011"/>
  <c r="M2012"/>
  <c r="M2013"/>
  <c r="M2014"/>
  <c r="M2015"/>
  <c r="M2016"/>
  <c r="M2031"/>
  <c r="M2095"/>
  <c r="M2105"/>
  <c r="M2118"/>
  <c r="M2119"/>
  <c r="M2120"/>
  <c r="M2122"/>
  <c r="M2128"/>
  <c r="M2129"/>
  <c r="M2144"/>
  <c r="M2154"/>
  <c r="M2155"/>
  <c r="M2156"/>
  <c r="M2157"/>
  <c r="M2158"/>
  <c r="M2159"/>
  <c r="M2163"/>
  <c r="M2173"/>
  <c r="M2179"/>
  <c r="M2185"/>
  <c r="M2186"/>
  <c r="M2187"/>
  <c r="M2193"/>
  <c r="M2194"/>
  <c r="M2205"/>
  <c r="M2209"/>
  <c r="M2214"/>
  <c r="M2223"/>
  <c r="M2244"/>
  <c r="M2246"/>
  <c r="M2247"/>
  <c r="M2248"/>
  <c r="M2249"/>
  <c r="M2250"/>
  <c r="M2251"/>
  <c r="M2253"/>
  <c r="M2254"/>
  <c r="M2255"/>
  <c r="M2260"/>
  <c r="M2261"/>
  <c r="M2262"/>
  <c r="M2263"/>
  <c r="M2267"/>
  <c r="M2270"/>
  <c r="M2271"/>
  <c r="M2272"/>
  <c r="M2273"/>
  <c r="M2283"/>
  <c r="M2285"/>
  <c r="M2286"/>
  <c r="M2287"/>
  <c r="M2289"/>
  <c r="M2290"/>
  <c r="M2291"/>
  <c r="M2292"/>
  <c r="M2293"/>
  <c r="M2294"/>
  <c r="M2295"/>
  <c r="M2299"/>
  <c r="M2300"/>
  <c r="M2301"/>
  <c r="M2302"/>
  <c r="M2307"/>
  <c r="M2308"/>
  <c r="M2310"/>
  <c r="M2311"/>
  <c r="M2312"/>
  <c r="M2316"/>
  <c r="M2317"/>
  <c r="M2324"/>
  <c r="M2325"/>
  <c r="M2348"/>
  <c r="M2350"/>
  <c r="M2351"/>
  <c r="M2352"/>
  <c r="M2354"/>
  <c r="M2355"/>
  <c r="M2356"/>
  <c r="M2358"/>
  <c r="M2359"/>
  <c r="M2360"/>
  <c r="M2361"/>
  <c r="M2363"/>
  <c r="M2364"/>
  <c r="M2365"/>
  <c r="M2366"/>
  <c r="M2367"/>
  <c r="M2368"/>
  <c r="M2369"/>
  <c r="M2371"/>
  <c r="M2372"/>
  <c r="M2373"/>
  <c r="M2378"/>
  <c r="M2389"/>
  <c r="M2390"/>
  <c r="M2391"/>
  <c r="M2392"/>
  <c r="M2394"/>
  <c r="M2395"/>
  <c r="M2396"/>
  <c r="M2397"/>
  <c r="M2398"/>
  <c r="M2406"/>
  <c r="M2410"/>
  <c r="M2412"/>
  <c r="M2414"/>
  <c r="M2415"/>
  <c r="M2416"/>
  <c r="M2417"/>
  <c r="M2420"/>
  <c r="M2421"/>
  <c r="M2422"/>
  <c r="M2423"/>
  <c r="M2424"/>
  <c r="M2425"/>
  <c r="M2428"/>
  <c r="M2432"/>
  <c r="M2447"/>
  <c r="M2452"/>
  <c r="M2453"/>
  <c r="M2454"/>
  <c r="M2460"/>
  <c r="M2467"/>
  <c r="M2480"/>
  <c r="M2481"/>
  <c r="M2482"/>
  <c r="M2489"/>
  <c r="M2490"/>
  <c r="M2491"/>
  <c r="M2492"/>
  <c r="M2493"/>
  <c r="M2518"/>
  <c r="M2519"/>
  <c r="M2520"/>
  <c r="M2521"/>
  <c r="M2522"/>
  <c r="M2523"/>
  <c r="M2524"/>
  <c r="M2525"/>
  <c r="M2526"/>
  <c r="M2527"/>
  <c r="M2528"/>
  <c r="M2529"/>
  <c r="M2530"/>
  <c r="M2531"/>
  <c r="M2532"/>
  <c r="M2533"/>
  <c r="M2534"/>
  <c r="M2535"/>
  <c r="M2536"/>
  <c r="M2537"/>
  <c r="M2538"/>
  <c r="M2539"/>
  <c r="M2540"/>
  <c r="M2541"/>
  <c r="M2542"/>
  <c r="M2543"/>
  <c r="M2544"/>
  <c r="M2550"/>
  <c r="M2551"/>
  <c r="M2552"/>
  <c r="M2553"/>
  <c r="M2554"/>
  <c r="M2555"/>
  <c r="M2562"/>
  <c r="M2563"/>
  <c r="M2564"/>
  <c r="M2569"/>
  <c r="M2570"/>
  <c r="M2571"/>
  <c r="M2572"/>
  <c r="M2573"/>
  <c r="M2574"/>
  <c r="M2575"/>
  <c r="M2576"/>
  <c r="M2577"/>
  <c r="M2578"/>
  <c r="M2588"/>
  <c r="M2590"/>
  <c r="M2591"/>
  <c r="M2592"/>
  <c r="M2593"/>
  <c r="M2594"/>
  <c r="M2595"/>
  <c r="M2596"/>
  <c r="M2597"/>
  <c r="M2598"/>
  <c r="M2599"/>
  <c r="M2605"/>
  <c r="M2621"/>
  <c r="M2622"/>
  <c r="M2623"/>
  <c r="M2625"/>
  <c r="M2626"/>
  <c r="M2628"/>
  <c r="M2629"/>
  <c r="M2642"/>
  <c r="M2651"/>
  <c r="M2653"/>
  <c r="M2665"/>
  <c r="M2668"/>
  <c r="M2669"/>
  <c r="M2670"/>
  <c r="M2671"/>
  <c r="M2673"/>
  <c r="M2675"/>
  <c r="M2676"/>
  <c r="M2677"/>
  <c r="M2678"/>
  <c r="M2679"/>
  <c r="M2680"/>
  <c r="M2681"/>
  <c r="M2682"/>
  <c r="M2683"/>
  <c r="M2684"/>
  <c r="M2686"/>
  <c r="M2687"/>
  <c r="M2689"/>
  <c r="M2691"/>
  <c r="M2692"/>
  <c r="M2693"/>
  <c r="M2694"/>
  <c r="M2695"/>
  <c r="M2696"/>
  <c r="M2698"/>
  <c r="M2699"/>
  <c r="M2700"/>
  <c r="M2701"/>
  <c r="M2702"/>
  <c r="M2704"/>
  <c r="M2706"/>
  <c r="M2707"/>
  <c r="M2709"/>
  <c r="M2711"/>
  <c r="M2712"/>
  <c r="M2716"/>
  <c r="M2717"/>
  <c r="M2718"/>
  <c r="M2719"/>
  <c r="M2720"/>
  <c r="M2721"/>
  <c r="M2723"/>
  <c r="M2724"/>
  <c r="M2725"/>
  <c r="M2726"/>
  <c r="M2727"/>
  <c r="M2728"/>
  <c r="M2729"/>
  <c r="M2731"/>
  <c r="M2732"/>
  <c r="M2733"/>
  <c r="M2734"/>
  <c r="M2735"/>
  <c r="M2736"/>
  <c r="M2737"/>
  <c r="M2740"/>
  <c r="M2741"/>
  <c r="M2742"/>
  <c r="M2743"/>
  <c r="M2744"/>
  <c r="M2745"/>
  <c r="M2746"/>
  <c r="M2747"/>
  <c r="M2748"/>
  <c r="M2749"/>
  <c r="M2750"/>
  <c r="M2751"/>
  <c r="M2753"/>
  <c r="M2754"/>
  <c r="M2755"/>
  <c r="M2756"/>
  <c r="M2757"/>
  <c r="M2758"/>
  <c r="M2759"/>
  <c r="M2760"/>
  <c r="M2761"/>
  <c r="M2762"/>
  <c r="M2763"/>
  <c r="M2764"/>
  <c r="M2765"/>
  <c r="M2766"/>
  <c r="M2767"/>
  <c r="M2768"/>
  <c r="M2769"/>
  <c r="M2770"/>
  <c r="M2771"/>
  <c r="M2772"/>
  <c r="M2773"/>
  <c r="M2774"/>
  <c r="M2780"/>
  <c r="M2782"/>
  <c r="M2789"/>
  <c r="M2791"/>
  <c r="M2796"/>
  <c r="M2799"/>
  <c r="M2803"/>
  <c r="M2806"/>
  <c r="M2808"/>
  <c r="M2809"/>
  <c r="M2812"/>
  <c r="M2819"/>
  <c r="M2825"/>
  <c r="M2830"/>
  <c r="M2837"/>
  <c r="M2839"/>
  <c r="M2840"/>
  <c r="M2841"/>
  <c r="M2843"/>
  <c r="M2875"/>
  <c r="M2876"/>
  <c r="M2879"/>
  <c r="M2880"/>
  <c r="M2885"/>
  <c r="M2888"/>
  <c r="M2894"/>
  <c r="M2895"/>
  <c r="M2898"/>
  <c r="M2900"/>
  <c r="M2902"/>
  <c r="M2905"/>
  <c r="M2909"/>
  <c r="M2912"/>
  <c r="M2913"/>
  <c r="M2914"/>
  <c r="M2915"/>
  <c r="M2917"/>
  <c r="M2919"/>
  <c r="M2920"/>
  <c r="M2921"/>
  <c r="L546"/>
  <c r="K546"/>
  <c r="K545"/>
  <c r="K544"/>
  <c r="L547"/>
  <c r="K547"/>
  <c r="L548"/>
  <c r="K549"/>
  <c r="N549" s="1"/>
  <c r="O549" s="1"/>
  <c r="K548"/>
  <c r="K551"/>
  <c r="N551" s="1"/>
  <c r="O551" s="1"/>
  <c r="K550"/>
  <c r="N550" s="1"/>
  <c r="O550" s="1"/>
  <c r="K552"/>
  <c r="N552" s="1"/>
  <c r="O552" s="1"/>
  <c r="K553"/>
  <c r="N553" s="1"/>
  <c r="O553" s="1"/>
  <c r="L554"/>
  <c r="K555"/>
  <c r="N555" s="1"/>
  <c r="O555" s="1"/>
  <c r="L556"/>
  <c r="K554"/>
  <c r="K556"/>
  <c r="K558"/>
  <c r="N558" s="1"/>
  <c r="O558" s="1"/>
  <c r="K557"/>
  <c r="N557" s="1"/>
  <c r="O557" s="1"/>
  <c r="K559"/>
  <c r="N559" s="1"/>
  <c r="O559" s="1"/>
  <c r="L561"/>
  <c r="K561"/>
  <c r="K560"/>
  <c r="N560" s="1"/>
  <c r="O560" s="1"/>
  <c r="K562"/>
  <c r="N562" s="1"/>
  <c r="O562" s="1"/>
  <c r="K564"/>
  <c r="K565"/>
  <c r="K563"/>
  <c r="N563" s="1"/>
  <c r="O563" s="1"/>
  <c r="K567"/>
  <c r="N567" s="1"/>
  <c r="O567" s="1"/>
  <c r="K566"/>
  <c r="N566" s="1"/>
  <c r="O566" s="1"/>
  <c r="L568"/>
  <c r="K568"/>
  <c r="K569"/>
  <c r="N569" s="1"/>
  <c r="O569" s="1"/>
  <c r="K570"/>
  <c r="N570" s="1"/>
  <c r="O570" s="1"/>
  <c r="K572"/>
  <c r="N572" s="1"/>
  <c r="O572" s="1"/>
  <c r="K571"/>
  <c r="N571" s="1"/>
  <c r="O571" s="1"/>
  <c r="L573"/>
  <c r="K573"/>
  <c r="K574"/>
  <c r="N574" s="1"/>
  <c r="O574" s="1"/>
  <c r="L575"/>
  <c r="K575"/>
  <c r="K576"/>
  <c r="N576" s="1"/>
  <c r="O576" s="1"/>
  <c r="L577"/>
  <c r="K577"/>
  <c r="K578"/>
  <c r="N578" s="1"/>
  <c r="O578" s="1"/>
  <c r="K579"/>
  <c r="N579" s="1"/>
  <c r="O579" s="1"/>
  <c r="K580"/>
  <c r="N580" s="1"/>
  <c r="O580" s="1"/>
  <c r="K581"/>
  <c r="N581" s="1"/>
  <c r="O581" s="1"/>
  <c r="K582"/>
  <c r="N582" s="1"/>
  <c r="O582" s="1"/>
  <c r="K583"/>
  <c r="N583" s="1"/>
  <c r="O583" s="1"/>
  <c r="K584"/>
  <c r="N584" s="1"/>
  <c r="O584" s="1"/>
  <c r="K585"/>
  <c r="N585" s="1"/>
  <c r="O585" s="1"/>
  <c r="L587"/>
  <c r="K586"/>
  <c r="K587"/>
  <c r="K588"/>
  <c r="N588" s="1"/>
  <c r="O588" s="1"/>
  <c r="K589"/>
  <c r="N589" s="1"/>
  <c r="O589" s="1"/>
  <c r="K590"/>
  <c r="N590" s="1"/>
  <c r="O590" s="1"/>
  <c r="K591"/>
  <c r="N591" s="1"/>
  <c r="O591" s="1"/>
  <c r="K592"/>
  <c r="N592" s="1"/>
  <c r="O592" s="1"/>
  <c r="K593"/>
  <c r="N593" s="1"/>
  <c r="O593" s="1"/>
  <c r="K594"/>
  <c r="N594" s="1"/>
  <c r="O594" s="1"/>
  <c r="K595"/>
  <c r="N595" s="1"/>
  <c r="O595" s="1"/>
  <c r="K596"/>
  <c r="N596" s="1"/>
  <c r="O596" s="1"/>
  <c r="K597"/>
  <c r="N597" s="1"/>
  <c r="O597" s="1"/>
  <c r="K598"/>
  <c r="N598" s="1"/>
  <c r="O598" s="1"/>
  <c r="L601"/>
  <c r="K599"/>
  <c r="N599" s="1"/>
  <c r="O599" s="1"/>
  <c r="K600"/>
  <c r="N600" s="1"/>
  <c r="O600" s="1"/>
  <c r="K601"/>
  <c r="L604"/>
  <c r="K602"/>
  <c r="N602" s="1"/>
  <c r="O602" s="1"/>
  <c r="K603"/>
  <c r="N603" s="1"/>
  <c r="O603" s="1"/>
  <c r="K604"/>
  <c r="K605"/>
  <c r="N605" s="1"/>
  <c r="O605" s="1"/>
  <c r="K606"/>
  <c r="N606" s="1"/>
  <c r="O606" s="1"/>
  <c r="K607"/>
  <c r="N607" s="1"/>
  <c r="O607" s="1"/>
  <c r="K608"/>
  <c r="N608" s="1"/>
  <c r="O608" s="1"/>
  <c r="K609"/>
  <c r="N609" s="1"/>
  <c r="O609" s="1"/>
  <c r="K619"/>
  <c r="N619" s="1"/>
  <c r="O619" s="1"/>
  <c r="K610"/>
  <c r="N610" s="1"/>
  <c r="O610" s="1"/>
  <c r="K611"/>
  <c r="N611" s="1"/>
  <c r="O611" s="1"/>
  <c r="K612"/>
  <c r="N612" s="1"/>
  <c r="O612" s="1"/>
  <c r="L614"/>
  <c r="K613"/>
  <c r="N613" s="1"/>
  <c r="O613" s="1"/>
  <c r="K614"/>
  <c r="K615"/>
  <c r="K616"/>
  <c r="N616" s="1"/>
  <c r="O616" s="1"/>
  <c r="K617"/>
  <c r="L618"/>
  <c r="K618"/>
  <c r="K620"/>
  <c r="N620" s="1"/>
  <c r="O620" s="1"/>
  <c r="K621"/>
  <c r="L622"/>
  <c r="K623"/>
  <c r="N623" s="1"/>
  <c r="O623" s="1"/>
  <c r="K622"/>
  <c r="K624"/>
  <c r="N624" s="1"/>
  <c r="O624" s="1"/>
  <c r="K628"/>
  <c r="N628" s="1"/>
  <c r="O628" s="1"/>
  <c r="K625"/>
  <c r="N625" s="1"/>
  <c r="O625" s="1"/>
  <c r="K626"/>
  <c r="N626" s="1"/>
  <c r="O626" s="1"/>
  <c r="K627"/>
  <c r="N627" s="1"/>
  <c r="O627" s="1"/>
  <c r="L630"/>
  <c r="K629"/>
  <c r="K630"/>
  <c r="L631"/>
  <c r="K631"/>
  <c r="K632"/>
  <c r="N632" s="1"/>
  <c r="O632" s="1"/>
  <c r="K633"/>
  <c r="N633" s="1"/>
  <c r="O633" s="1"/>
  <c r="K634"/>
  <c r="N634" s="1"/>
  <c r="O634" s="1"/>
  <c r="K635"/>
  <c r="N635" s="1"/>
  <c r="O635" s="1"/>
  <c r="K636"/>
  <c r="K637"/>
  <c r="N637" s="1"/>
  <c r="O637" s="1"/>
  <c r="K638"/>
  <c r="N638" s="1"/>
  <c r="O638" s="1"/>
  <c r="K787"/>
  <c r="N787" s="1"/>
  <c r="O787" s="1"/>
  <c r="K639"/>
  <c r="N639" s="1"/>
  <c r="O639" s="1"/>
  <c r="K640"/>
  <c r="N640" s="1"/>
  <c r="O640" s="1"/>
  <c r="K641"/>
  <c r="N641" s="1"/>
  <c r="O641" s="1"/>
  <c r="K642"/>
  <c r="N642" s="1"/>
  <c r="O642" s="1"/>
  <c r="K643"/>
  <c r="N643" s="1"/>
  <c r="O643" s="1"/>
  <c r="K644"/>
  <c r="K645"/>
  <c r="N645" s="1"/>
  <c r="O645" s="1"/>
  <c r="K646"/>
  <c r="N646" s="1"/>
  <c r="O646" s="1"/>
  <c r="K647"/>
  <c r="N647" s="1"/>
  <c r="O647" s="1"/>
  <c r="L649"/>
  <c r="K648"/>
  <c r="N648" s="1"/>
  <c r="O648" s="1"/>
  <c r="K649"/>
  <c r="L652"/>
  <c r="K651"/>
  <c r="N651" s="1"/>
  <c r="O651" s="1"/>
  <c r="K650"/>
  <c r="N650" s="1"/>
  <c r="O650" s="1"/>
  <c r="K652"/>
  <c r="K653"/>
  <c r="N653" s="1"/>
  <c r="O653" s="1"/>
  <c r="K654"/>
  <c r="N654" s="1"/>
  <c r="O654" s="1"/>
  <c r="K655"/>
  <c r="N655" s="1"/>
  <c r="O655" s="1"/>
  <c r="K656"/>
  <c r="K657"/>
  <c r="K658"/>
  <c r="L659"/>
  <c r="K659"/>
  <c r="K660"/>
  <c r="L661"/>
  <c r="K661"/>
  <c r="K662"/>
  <c r="N662" s="1"/>
  <c r="O662" s="1"/>
  <c r="K663"/>
  <c r="L664"/>
  <c r="L666"/>
  <c r="K664"/>
  <c r="K665"/>
  <c r="N665" s="1"/>
  <c r="O665" s="1"/>
  <c r="K666"/>
  <c r="K667"/>
  <c r="N667" s="1"/>
  <c r="O667" s="1"/>
  <c r="K668"/>
  <c r="N668" s="1"/>
  <c r="O668" s="1"/>
  <c r="K669"/>
  <c r="N669" s="1"/>
  <c r="O669" s="1"/>
  <c r="K670"/>
  <c r="N670" s="1"/>
  <c r="O670" s="1"/>
  <c r="L675"/>
  <c r="K671"/>
  <c r="N671" s="1"/>
  <c r="O671" s="1"/>
  <c r="K672"/>
  <c r="N672" s="1"/>
  <c r="O672" s="1"/>
  <c r="K673"/>
  <c r="N673" s="1"/>
  <c r="O673" s="1"/>
  <c r="K674"/>
  <c r="N674" s="1"/>
  <c r="O674" s="1"/>
  <c r="K675"/>
  <c r="K676"/>
  <c r="N676" s="1"/>
  <c r="O676" s="1"/>
  <c r="K677"/>
  <c r="N677" s="1"/>
  <c r="O677" s="1"/>
  <c r="K678"/>
  <c r="N678" s="1"/>
  <c r="O678" s="1"/>
  <c r="K679"/>
  <c r="N679" s="1"/>
  <c r="O679" s="1"/>
  <c r="K680"/>
  <c r="N680" s="1"/>
  <c r="O680" s="1"/>
  <c r="K681"/>
  <c r="N681" s="1"/>
  <c r="O681" s="1"/>
  <c r="K682"/>
  <c r="N682" s="1"/>
  <c r="O682" s="1"/>
  <c r="K688"/>
  <c r="N688" s="1"/>
  <c r="O688" s="1"/>
  <c r="K689"/>
  <c r="N689" s="1"/>
  <c r="O689" s="1"/>
  <c r="L686"/>
  <c r="K685"/>
  <c r="N685" s="1"/>
  <c r="O685" s="1"/>
  <c r="K686"/>
  <c r="K687"/>
  <c r="N687" s="1"/>
  <c r="O687" s="1"/>
  <c r="K683"/>
  <c r="N683" s="1"/>
  <c r="O683" s="1"/>
  <c r="K684"/>
  <c r="N684" s="1"/>
  <c r="O684" s="1"/>
  <c r="K690"/>
  <c r="N690" s="1"/>
  <c r="O690" s="1"/>
  <c r="K691"/>
  <c r="N691" s="1"/>
  <c r="O691" s="1"/>
  <c r="K692"/>
  <c r="N692" s="1"/>
  <c r="O692" s="1"/>
  <c r="K693"/>
  <c r="N693" s="1"/>
  <c r="O693" s="1"/>
  <c r="K694"/>
  <c r="N694" s="1"/>
  <c r="O694" s="1"/>
  <c r="K695"/>
  <c r="N695" s="1"/>
  <c r="O695" s="1"/>
  <c r="K696"/>
  <c r="N696" s="1"/>
  <c r="O696" s="1"/>
  <c r="K697"/>
  <c r="K698"/>
  <c r="L699"/>
  <c r="K699"/>
  <c r="K700"/>
  <c r="L701"/>
  <c r="K701"/>
  <c r="K702"/>
  <c r="N702" s="1"/>
  <c r="O702" s="1"/>
  <c r="K703"/>
  <c r="N703" s="1"/>
  <c r="O703" s="1"/>
  <c r="K704"/>
  <c r="N704" s="1"/>
  <c r="O704" s="1"/>
  <c r="K705"/>
  <c r="N705" s="1"/>
  <c r="O705" s="1"/>
  <c r="K706"/>
  <c r="N706" s="1"/>
  <c r="O706" s="1"/>
  <c r="K707"/>
  <c r="N707" s="1"/>
  <c r="O707" s="1"/>
  <c r="K708"/>
  <c r="N708" s="1"/>
  <c r="O708" s="1"/>
  <c r="K709"/>
  <c r="N709" s="1"/>
  <c r="O709" s="1"/>
  <c r="K710"/>
  <c r="N710" s="1"/>
  <c r="O710" s="1"/>
  <c r="K711"/>
  <c r="N711" s="1"/>
  <c r="O711" s="1"/>
  <c r="K712"/>
  <c r="N712" s="1"/>
  <c r="O712" s="1"/>
  <c r="K713"/>
  <c r="N713" s="1"/>
  <c r="O713" s="1"/>
  <c r="K714"/>
  <c r="N714" s="1"/>
  <c r="O714" s="1"/>
  <c r="K715"/>
  <c r="N715" s="1"/>
  <c r="O715" s="1"/>
  <c r="K716"/>
  <c r="N716" s="1"/>
  <c r="O716" s="1"/>
  <c r="K717"/>
  <c r="N717" s="1"/>
  <c r="O717" s="1"/>
  <c r="K718"/>
  <c r="N718" s="1"/>
  <c r="O718" s="1"/>
  <c r="K719"/>
  <c r="N719" s="1"/>
  <c r="O719" s="1"/>
  <c r="K720"/>
  <c r="N720" s="1"/>
  <c r="O720" s="1"/>
  <c r="K721"/>
  <c r="N721" s="1"/>
  <c r="O721" s="1"/>
  <c r="K722"/>
  <c r="N722" s="1"/>
  <c r="O722" s="1"/>
  <c r="K724"/>
  <c r="N724" s="1"/>
  <c r="O724" s="1"/>
  <c r="K725"/>
  <c r="N725" s="1"/>
  <c r="O725" s="1"/>
  <c r="K723"/>
  <c r="N723" s="1"/>
  <c r="O723" s="1"/>
  <c r="K726"/>
  <c r="N726" s="1"/>
  <c r="O726" s="1"/>
  <c r="K727"/>
  <c r="N727" s="1"/>
  <c r="O727" s="1"/>
  <c r="K728"/>
  <c r="N728" s="1"/>
  <c r="O728" s="1"/>
  <c r="K729"/>
  <c r="N729" s="1"/>
  <c r="O729" s="1"/>
  <c r="K730"/>
  <c r="N730" s="1"/>
  <c r="O730" s="1"/>
  <c r="K731"/>
  <c r="N731" s="1"/>
  <c r="O731" s="1"/>
  <c r="K732"/>
  <c r="N732" s="1"/>
  <c r="O732" s="1"/>
  <c r="K733"/>
  <c r="N733" s="1"/>
  <c r="O733" s="1"/>
  <c r="K734"/>
  <c r="N734" s="1"/>
  <c r="O734" s="1"/>
  <c r="K735"/>
  <c r="N735" s="1"/>
  <c r="O735" s="1"/>
  <c r="K736"/>
  <c r="N736" s="1"/>
  <c r="O736" s="1"/>
  <c r="K737"/>
  <c r="N737" s="1"/>
  <c r="O737" s="1"/>
  <c r="K738"/>
  <c r="N738" s="1"/>
  <c r="O738" s="1"/>
  <c r="K739"/>
  <c r="N739" s="1"/>
  <c r="O739" s="1"/>
  <c r="K740"/>
  <c r="K741"/>
  <c r="N741" s="1"/>
  <c r="O741" s="1"/>
  <c r="K742"/>
  <c r="N742" s="1"/>
  <c r="O742" s="1"/>
  <c r="K743"/>
  <c r="N743" s="1"/>
  <c r="O743" s="1"/>
  <c r="K744"/>
  <c r="N744" s="1"/>
  <c r="O744" s="1"/>
  <c r="K745"/>
  <c r="K746"/>
  <c r="L747"/>
  <c r="L748"/>
  <c r="K747"/>
  <c r="K748"/>
  <c r="K749"/>
  <c r="N749" s="1"/>
  <c r="O749" s="1"/>
  <c r="K750"/>
  <c r="N750" s="1"/>
  <c r="O750" s="1"/>
  <c r="K751"/>
  <c r="N751" s="1"/>
  <c r="O751" s="1"/>
  <c r="K752"/>
  <c r="N752" s="1"/>
  <c r="O752" s="1"/>
  <c r="K753"/>
  <c r="N753" s="1"/>
  <c r="O753" s="1"/>
  <c r="K754"/>
  <c r="N754" s="1"/>
  <c r="O754" s="1"/>
  <c r="K755"/>
  <c r="N755" s="1"/>
  <c r="O755" s="1"/>
  <c r="K756"/>
  <c r="N756" s="1"/>
  <c r="O756" s="1"/>
  <c r="K757"/>
  <c r="N757" s="1"/>
  <c r="O757" s="1"/>
  <c r="K758"/>
  <c r="N758" s="1"/>
  <c r="O758" s="1"/>
  <c r="K759"/>
  <c r="N759" s="1"/>
  <c r="O759" s="1"/>
  <c r="K760"/>
  <c r="N760" s="1"/>
  <c r="O760" s="1"/>
  <c r="K761"/>
  <c r="N761" s="1"/>
  <c r="O761" s="1"/>
  <c r="L763"/>
  <c r="K762"/>
  <c r="N762" s="1"/>
  <c r="O762" s="1"/>
  <c r="K763"/>
  <c r="K764"/>
  <c r="N764" s="1"/>
  <c r="O764" s="1"/>
  <c r="K765"/>
  <c r="N765" s="1"/>
  <c r="O765" s="1"/>
  <c r="K766"/>
  <c r="N766" s="1"/>
  <c r="O766" s="1"/>
  <c r="K767"/>
  <c r="N767" s="1"/>
  <c r="O767" s="1"/>
  <c r="L769"/>
  <c r="K768"/>
  <c r="N768" s="1"/>
  <c r="O768" s="1"/>
  <c r="K769"/>
  <c r="K770"/>
  <c r="K771"/>
  <c r="K772"/>
  <c r="K773"/>
  <c r="L774"/>
  <c r="K774"/>
  <c r="K775"/>
  <c r="N775" s="1"/>
  <c r="O775" s="1"/>
  <c r="K776"/>
  <c r="N776" s="1"/>
  <c r="O776" s="1"/>
  <c r="K777"/>
  <c r="N777" s="1"/>
  <c r="O777" s="1"/>
  <c r="K778"/>
  <c r="N778" s="1"/>
  <c r="O778" s="1"/>
  <c r="K779"/>
  <c r="N779" s="1"/>
  <c r="O779" s="1"/>
  <c r="K780"/>
  <c r="N780" s="1"/>
  <c r="O780" s="1"/>
  <c r="K781"/>
  <c r="N781" s="1"/>
  <c r="O781" s="1"/>
  <c r="K782"/>
  <c r="N782" s="1"/>
  <c r="O782" s="1"/>
  <c r="K783"/>
  <c r="N783" s="1"/>
  <c r="O783" s="1"/>
  <c r="K784"/>
  <c r="N784" s="1"/>
  <c r="O784" s="1"/>
  <c r="K785"/>
  <c r="N785" s="1"/>
  <c r="O785" s="1"/>
  <c r="K786"/>
  <c r="N786" s="1"/>
  <c r="O786" s="1"/>
  <c r="K788"/>
  <c r="N788" s="1"/>
  <c r="O788" s="1"/>
  <c r="K789"/>
  <c r="N789" s="1"/>
  <c r="O789" s="1"/>
  <c r="K790"/>
  <c r="N790" s="1"/>
  <c r="O790" s="1"/>
  <c r="K791"/>
  <c r="N791" s="1"/>
  <c r="O791" s="1"/>
  <c r="K792"/>
  <c r="N792" s="1"/>
  <c r="O792" s="1"/>
  <c r="K793"/>
  <c r="N793" s="1"/>
  <c r="O793" s="1"/>
  <c r="K794"/>
  <c r="N794" s="1"/>
  <c r="O794" s="1"/>
  <c r="K795"/>
  <c r="N795" s="1"/>
  <c r="O795" s="1"/>
  <c r="K796"/>
  <c r="N796" s="1"/>
  <c r="O796" s="1"/>
  <c r="K797"/>
  <c r="N797" s="1"/>
  <c r="O797" s="1"/>
  <c r="K798"/>
  <c r="N798" s="1"/>
  <c r="O798" s="1"/>
  <c r="K799"/>
  <c r="N799" s="1"/>
  <c r="O799" s="1"/>
  <c r="K800"/>
  <c r="N800" s="1"/>
  <c r="O800" s="1"/>
  <c r="K801"/>
  <c r="N801" s="1"/>
  <c r="O801" s="1"/>
  <c r="K802"/>
  <c r="N802" s="1"/>
  <c r="O802" s="1"/>
  <c r="K803"/>
  <c r="N803" s="1"/>
  <c r="O803" s="1"/>
  <c r="K804"/>
  <c r="K805"/>
  <c r="N805" s="1"/>
  <c r="O805" s="1"/>
  <c r="K806"/>
  <c r="N806" s="1"/>
  <c r="O806" s="1"/>
  <c r="K807"/>
  <c r="N807" s="1"/>
  <c r="O807" s="1"/>
  <c r="K808"/>
  <c r="N808" s="1"/>
  <c r="O808" s="1"/>
  <c r="K809"/>
  <c r="N809" s="1"/>
  <c r="O809" s="1"/>
  <c r="K810"/>
  <c r="N810" s="1"/>
  <c r="O810" s="1"/>
  <c r="K811"/>
  <c r="K812"/>
  <c r="K813"/>
  <c r="L814"/>
  <c r="K814"/>
  <c r="K815"/>
  <c r="N815" s="1"/>
  <c r="O815" s="1"/>
  <c r="K816"/>
  <c r="N816" s="1"/>
  <c r="O816" s="1"/>
  <c r="K817"/>
  <c r="K818"/>
  <c r="L819"/>
  <c r="K819"/>
  <c r="K820"/>
  <c r="K824"/>
  <c r="N824" s="1"/>
  <c r="O824" s="1"/>
  <c r="L821"/>
  <c r="K821"/>
  <c r="K823"/>
  <c r="N823" s="1"/>
  <c r="O823" s="1"/>
  <c r="K822"/>
  <c r="N822" s="1"/>
  <c r="O822" s="1"/>
  <c r="K828"/>
  <c r="K825"/>
  <c r="N825" s="1"/>
  <c r="O825" s="1"/>
  <c r="K826"/>
  <c r="N826" s="1"/>
  <c r="O826" s="1"/>
  <c r="K827"/>
  <c r="N827" s="1"/>
  <c r="O827" s="1"/>
  <c r="K829"/>
  <c r="L830"/>
  <c r="K830"/>
  <c r="K831"/>
  <c r="N831" s="1"/>
  <c r="O831" s="1"/>
  <c r="K832"/>
  <c r="K833"/>
  <c r="K834"/>
  <c r="L835"/>
  <c r="K835"/>
  <c r="K836"/>
  <c r="N836" s="1"/>
  <c r="O836" s="1"/>
  <c r="K837"/>
  <c r="K838"/>
  <c r="K839"/>
  <c r="L840"/>
  <c r="L841"/>
  <c r="K840"/>
  <c r="K841"/>
  <c r="L842"/>
  <c r="K842"/>
  <c r="K843"/>
  <c r="L844"/>
  <c r="K844"/>
  <c r="K845"/>
  <c r="N845" s="1"/>
  <c r="O845" s="1"/>
  <c r="K848"/>
  <c r="K849"/>
  <c r="K846"/>
  <c r="K847"/>
  <c r="L850"/>
  <c r="K850"/>
  <c r="K851"/>
  <c r="K852"/>
  <c r="K855"/>
  <c r="K856"/>
  <c r="L853"/>
  <c r="L854"/>
  <c r="K853"/>
  <c r="K854"/>
  <c r="L857"/>
  <c r="L858"/>
  <c r="K857"/>
  <c r="K858"/>
  <c r="L859"/>
  <c r="L860"/>
  <c r="K859"/>
  <c r="K860"/>
  <c r="L861"/>
  <c r="L862"/>
  <c r="K861"/>
  <c r="K862"/>
  <c r="K863"/>
  <c r="N863" s="1"/>
  <c r="O863" s="1"/>
  <c r="K864"/>
  <c r="N864" s="1"/>
  <c r="O864" s="1"/>
  <c r="K865"/>
  <c r="N865" s="1"/>
  <c r="O865" s="1"/>
  <c r="K866"/>
  <c r="N866" s="1"/>
  <c r="O866" s="1"/>
  <c r="K867"/>
  <c r="N867" s="1"/>
  <c r="O867" s="1"/>
  <c r="K868"/>
  <c r="N868" s="1"/>
  <c r="O868" s="1"/>
  <c r="K869"/>
  <c r="N869" s="1"/>
  <c r="O869" s="1"/>
  <c r="K870"/>
  <c r="N870" s="1"/>
  <c r="O870" s="1"/>
  <c r="K871"/>
  <c r="N871" s="1"/>
  <c r="O871" s="1"/>
  <c r="L873"/>
  <c r="K872"/>
  <c r="N872" s="1"/>
  <c r="O872" s="1"/>
  <c r="K873"/>
  <c r="K874"/>
  <c r="N874" s="1"/>
  <c r="O874" s="1"/>
  <c r="K875"/>
  <c r="N875" s="1"/>
  <c r="O875" s="1"/>
  <c r="K876"/>
  <c r="N876" s="1"/>
  <c r="O876" s="1"/>
  <c r="K877"/>
  <c r="N877" s="1"/>
  <c r="O877" s="1"/>
  <c r="K878"/>
  <c r="N878" s="1"/>
  <c r="O878" s="1"/>
  <c r="K879"/>
  <c r="N879" s="1"/>
  <c r="O879" s="1"/>
  <c r="K880"/>
  <c r="K881"/>
  <c r="K882"/>
  <c r="N882" s="1"/>
  <c r="O882" s="1"/>
  <c r="K883"/>
  <c r="L884"/>
  <c r="K884"/>
  <c r="K885"/>
  <c r="N885" s="1"/>
  <c r="O885" s="1"/>
  <c r="K886"/>
  <c r="N886" s="1"/>
  <c r="O886" s="1"/>
  <c r="L888"/>
  <c r="K887"/>
  <c r="K888"/>
  <c r="L889"/>
  <c r="L890"/>
  <c r="K889"/>
  <c r="K890"/>
  <c r="K891"/>
  <c r="N891" s="1"/>
  <c r="O891" s="1"/>
  <c r="K892"/>
  <c r="L893"/>
  <c r="K893"/>
  <c r="K894"/>
  <c r="N894" s="1"/>
  <c r="O894" s="1"/>
  <c r="K895"/>
  <c r="N895" s="1"/>
  <c r="O895" s="1"/>
  <c r="K896"/>
  <c r="N896" s="1"/>
  <c r="O896" s="1"/>
  <c r="K897"/>
  <c r="N897" s="1"/>
  <c r="O897" s="1"/>
  <c r="K898"/>
  <c r="N898" s="1"/>
  <c r="O898" s="1"/>
  <c r="K899"/>
  <c r="N899" s="1"/>
  <c r="O899" s="1"/>
  <c r="K900"/>
  <c r="K901"/>
  <c r="L902"/>
  <c r="K902"/>
  <c r="K903"/>
  <c r="N903" s="1"/>
  <c r="O903" s="1"/>
  <c r="K904"/>
  <c r="N904" s="1"/>
  <c r="O904" s="1"/>
  <c r="K905"/>
  <c r="N905" s="1"/>
  <c r="O905" s="1"/>
  <c r="K906"/>
  <c r="N906" s="1"/>
  <c r="O906" s="1"/>
  <c r="K907"/>
  <c r="N907" s="1"/>
  <c r="O907" s="1"/>
  <c r="K908"/>
  <c r="N908" s="1"/>
  <c r="O908" s="1"/>
  <c r="K909"/>
  <c r="N909" s="1"/>
  <c r="O909" s="1"/>
  <c r="L911"/>
  <c r="K910"/>
  <c r="N910" s="1"/>
  <c r="O910" s="1"/>
  <c r="K911"/>
  <c r="K912"/>
  <c r="N912" s="1"/>
  <c r="O912" s="1"/>
  <c r="L913"/>
  <c r="K913"/>
  <c r="K914"/>
  <c r="N914" s="1"/>
  <c r="O914" s="1"/>
  <c r="K915"/>
  <c r="N915" s="1"/>
  <c r="O915" s="1"/>
  <c r="K916"/>
  <c r="N916" s="1"/>
  <c r="O916" s="1"/>
  <c r="K917"/>
  <c r="N917" s="1"/>
  <c r="O917" s="1"/>
  <c r="K918"/>
  <c r="N918" s="1"/>
  <c r="O918" s="1"/>
  <c r="K919"/>
  <c r="N919" s="1"/>
  <c r="O919" s="1"/>
  <c r="K920"/>
  <c r="N920" s="1"/>
  <c r="O920" s="1"/>
  <c r="K921"/>
  <c r="N921" s="1"/>
  <c r="O921" s="1"/>
  <c r="K922"/>
  <c r="N922" s="1"/>
  <c r="O922" s="1"/>
  <c r="K923"/>
  <c r="N923" s="1"/>
  <c r="O923" s="1"/>
  <c r="K924"/>
  <c r="N924" s="1"/>
  <c r="O924" s="1"/>
  <c r="K925"/>
  <c r="N925" s="1"/>
  <c r="O925" s="1"/>
  <c r="K926"/>
  <c r="N926" s="1"/>
  <c r="O926" s="1"/>
  <c r="K927"/>
  <c r="N927" s="1"/>
  <c r="O927" s="1"/>
  <c r="K928"/>
  <c r="N928" s="1"/>
  <c r="O928" s="1"/>
  <c r="K929"/>
  <c r="N929" s="1"/>
  <c r="O929" s="1"/>
  <c r="K930"/>
  <c r="N930" s="1"/>
  <c r="O930" s="1"/>
  <c r="K931"/>
  <c r="N931" s="1"/>
  <c r="O931" s="1"/>
  <c r="L932"/>
  <c r="K932"/>
  <c r="K933"/>
  <c r="N933" s="1"/>
  <c r="O933" s="1"/>
  <c r="K934"/>
  <c r="N934" s="1"/>
  <c r="O934" s="1"/>
  <c r="K935"/>
  <c r="N935" s="1"/>
  <c r="O935" s="1"/>
  <c r="K936"/>
  <c r="K937"/>
  <c r="N937" s="1"/>
  <c r="O937" s="1"/>
  <c r="K938"/>
  <c r="L939"/>
  <c r="K939"/>
  <c r="K940"/>
  <c r="N940" s="1"/>
  <c r="O940" s="1"/>
  <c r="K941"/>
  <c r="N941" s="1"/>
  <c r="O941" s="1"/>
  <c r="L944"/>
  <c r="K942"/>
  <c r="N942" s="1"/>
  <c r="O942" s="1"/>
  <c r="K943"/>
  <c r="N943" s="1"/>
  <c r="O943" s="1"/>
  <c r="K944"/>
  <c r="L946"/>
  <c r="K945"/>
  <c r="N945" s="1"/>
  <c r="O945" s="1"/>
  <c r="K946"/>
  <c r="K947"/>
  <c r="N947" s="1"/>
  <c r="O947" s="1"/>
  <c r="K951"/>
  <c r="N951" s="1"/>
  <c r="O951" s="1"/>
  <c r="L948"/>
  <c r="K948"/>
  <c r="K949"/>
  <c r="N949" s="1"/>
  <c r="O949" s="1"/>
  <c r="K950"/>
  <c r="N950" s="1"/>
  <c r="O950" s="1"/>
  <c r="L952"/>
  <c r="K952"/>
  <c r="L953"/>
  <c r="K953"/>
  <c r="L954"/>
  <c r="K954"/>
  <c r="K955"/>
  <c r="L956"/>
  <c r="K956"/>
  <c r="K957"/>
  <c r="N957" s="1"/>
  <c r="O957" s="1"/>
  <c r="K958"/>
  <c r="N958" s="1"/>
  <c r="O958" s="1"/>
  <c r="K959"/>
  <c r="N959" s="1"/>
  <c r="O959" s="1"/>
  <c r="K960"/>
  <c r="N960" s="1"/>
  <c r="O960" s="1"/>
  <c r="K961"/>
  <c r="N961" s="1"/>
  <c r="O961" s="1"/>
  <c r="K962"/>
  <c r="N962" s="1"/>
  <c r="O962" s="1"/>
  <c r="K963"/>
  <c r="N963" s="1"/>
  <c r="O963" s="1"/>
  <c r="K964"/>
  <c r="N964" s="1"/>
  <c r="O964" s="1"/>
  <c r="K965"/>
  <c r="N965" s="1"/>
  <c r="O965" s="1"/>
  <c r="K966"/>
  <c r="N966" s="1"/>
  <c r="O966" s="1"/>
  <c r="K967"/>
  <c r="K968"/>
  <c r="N968" s="1"/>
  <c r="O968" s="1"/>
  <c r="L969"/>
  <c r="K969"/>
  <c r="K970"/>
  <c r="N970" s="1"/>
  <c r="O970" s="1"/>
  <c r="K971"/>
  <c r="N971" s="1"/>
  <c r="O971" s="1"/>
  <c r="K972"/>
  <c r="N972" s="1"/>
  <c r="O972" s="1"/>
  <c r="K973"/>
  <c r="N973" s="1"/>
  <c r="O973" s="1"/>
  <c r="K974"/>
  <c r="L975"/>
  <c r="K975"/>
  <c r="K976"/>
  <c r="N976" s="1"/>
  <c r="O976" s="1"/>
  <c r="K977"/>
  <c r="N977" s="1"/>
  <c r="O977" s="1"/>
  <c r="K978"/>
  <c r="N978" s="1"/>
  <c r="O978" s="1"/>
  <c r="K979"/>
  <c r="N979" s="1"/>
  <c r="O979" s="1"/>
  <c r="K980"/>
  <c r="N980" s="1"/>
  <c r="O980" s="1"/>
  <c r="K981"/>
  <c r="K982"/>
  <c r="N982" s="1"/>
  <c r="O982" s="1"/>
  <c r="L984"/>
  <c r="K984"/>
  <c r="K985"/>
  <c r="L986"/>
  <c r="L987"/>
  <c r="K986"/>
  <c r="K987"/>
  <c r="K988"/>
  <c r="N988" s="1"/>
  <c r="O988" s="1"/>
  <c r="K989"/>
  <c r="N989" s="1"/>
  <c r="O989" s="1"/>
  <c r="K990"/>
  <c r="N990" s="1"/>
  <c r="O990" s="1"/>
  <c r="K991"/>
  <c r="N991" s="1"/>
  <c r="O991" s="1"/>
  <c r="K992"/>
  <c r="N992" s="1"/>
  <c r="O992" s="1"/>
  <c r="K993"/>
  <c r="N993" s="1"/>
  <c r="O993" s="1"/>
  <c r="K994"/>
  <c r="N994" s="1"/>
  <c r="O994" s="1"/>
  <c r="K995"/>
  <c r="N995" s="1"/>
  <c r="O995" s="1"/>
  <c r="K996"/>
  <c r="N996" s="1"/>
  <c r="O996" s="1"/>
  <c r="K997"/>
  <c r="N997" s="1"/>
  <c r="O997" s="1"/>
  <c r="K998"/>
  <c r="N998" s="1"/>
  <c r="O998" s="1"/>
  <c r="K999"/>
  <c r="N999" s="1"/>
  <c r="O999" s="1"/>
  <c r="K1000"/>
  <c r="K1001"/>
  <c r="K1002"/>
  <c r="N1002" s="1"/>
  <c r="O1002" s="1"/>
  <c r="L1003"/>
  <c r="K1003"/>
  <c r="L1004"/>
  <c r="L1005"/>
  <c r="K1004"/>
  <c r="K1005"/>
  <c r="K1006"/>
  <c r="N1006" s="1"/>
  <c r="O1006" s="1"/>
  <c r="K1007"/>
  <c r="L1008"/>
  <c r="K1008"/>
  <c r="K1009"/>
  <c r="N1009" s="1"/>
  <c r="O1009" s="1"/>
  <c r="K1010"/>
  <c r="N1010" s="1"/>
  <c r="O1010" s="1"/>
  <c r="K1011"/>
  <c r="N1011" s="1"/>
  <c r="O1011" s="1"/>
  <c r="L1013"/>
  <c r="K1012"/>
  <c r="N1012" s="1"/>
  <c r="O1012" s="1"/>
  <c r="K1013"/>
  <c r="L1015"/>
  <c r="K1014"/>
  <c r="N1014" s="1"/>
  <c r="O1014" s="1"/>
  <c r="K1015"/>
  <c r="K1016"/>
  <c r="N1016" s="1"/>
  <c r="O1016" s="1"/>
  <c r="L1018"/>
  <c r="L1019"/>
  <c r="K1017"/>
  <c r="N1017" s="1"/>
  <c r="O1017" s="1"/>
  <c r="K1018"/>
  <c r="K1019"/>
  <c r="L1021"/>
  <c r="K1020"/>
  <c r="N1020" s="1"/>
  <c r="O1020" s="1"/>
  <c r="K1021"/>
  <c r="K1022"/>
  <c r="N1022" s="1"/>
  <c r="O1022" s="1"/>
  <c r="K1023"/>
  <c r="N1023" s="1"/>
  <c r="O1023" s="1"/>
  <c r="K1024"/>
  <c r="N1024" s="1"/>
  <c r="O1024" s="1"/>
  <c r="K1025"/>
  <c r="N1025" s="1"/>
  <c r="O1025" s="1"/>
  <c r="K1026"/>
  <c r="N1026" s="1"/>
  <c r="O1026" s="1"/>
  <c r="K1027"/>
  <c r="N1027" s="1"/>
  <c r="O1027" s="1"/>
  <c r="K1028"/>
  <c r="N1028" s="1"/>
  <c r="O1028" s="1"/>
  <c r="K1029"/>
  <c r="N1029" s="1"/>
  <c r="O1029" s="1"/>
  <c r="K1030"/>
  <c r="N1030" s="1"/>
  <c r="O1030" s="1"/>
  <c r="K1031"/>
  <c r="N1031" s="1"/>
  <c r="O1031" s="1"/>
  <c r="K1032"/>
  <c r="K1033"/>
  <c r="N1033" s="1"/>
  <c r="O1033" s="1"/>
  <c r="L1034"/>
  <c r="L1035"/>
  <c r="K1034"/>
  <c r="K1035"/>
  <c r="K1036"/>
  <c r="N1036" s="1"/>
  <c r="O1036" s="1"/>
  <c r="K1038"/>
  <c r="K1037"/>
  <c r="K1039"/>
  <c r="L1040"/>
  <c r="L1041"/>
  <c r="K1040"/>
  <c r="K1041"/>
  <c r="L1043"/>
  <c r="L1044"/>
  <c r="K1042"/>
  <c r="N1042" s="1"/>
  <c r="O1042" s="1"/>
  <c r="K1043"/>
  <c r="K1045"/>
  <c r="K1044"/>
  <c r="K1046"/>
  <c r="L1047"/>
  <c r="K1047"/>
  <c r="K1048"/>
  <c r="N1048" s="1"/>
  <c r="O1048" s="1"/>
  <c r="K1049"/>
  <c r="K1050"/>
  <c r="L1051"/>
  <c r="K1051"/>
  <c r="L1052"/>
  <c r="K1052"/>
  <c r="K1053"/>
  <c r="N1053" s="1"/>
  <c r="O1053" s="1"/>
  <c r="L1054"/>
  <c r="K1054"/>
  <c r="K1055"/>
  <c r="N1055" s="1"/>
  <c r="O1055" s="1"/>
  <c r="K1056"/>
  <c r="N1056" s="1"/>
  <c r="O1056" s="1"/>
  <c r="K1057"/>
  <c r="N1057" s="1"/>
  <c r="O1057" s="1"/>
  <c r="K1058"/>
  <c r="N1058" s="1"/>
  <c r="O1058" s="1"/>
  <c r="K1059"/>
  <c r="N1059" s="1"/>
  <c r="O1059" s="1"/>
  <c r="K1060"/>
  <c r="N1060" s="1"/>
  <c r="O1060" s="1"/>
  <c r="K1061"/>
  <c r="N1061" s="1"/>
  <c r="O1061" s="1"/>
  <c r="L1063"/>
  <c r="L1064"/>
  <c r="K1062"/>
  <c r="N1062" s="1"/>
  <c r="O1062" s="1"/>
  <c r="K1063"/>
  <c r="K1064"/>
  <c r="K1065"/>
  <c r="N1065" s="1"/>
  <c r="O1065" s="1"/>
  <c r="K1066"/>
  <c r="N1066" s="1"/>
  <c r="O1066" s="1"/>
  <c r="K1067"/>
  <c r="N1067" s="1"/>
  <c r="O1067" s="1"/>
  <c r="K1068"/>
  <c r="K1069"/>
  <c r="K1070"/>
  <c r="L1071"/>
  <c r="L1072"/>
  <c r="K1071"/>
  <c r="K1072"/>
  <c r="L1073"/>
  <c r="L1074"/>
  <c r="K1074"/>
  <c r="K1075"/>
  <c r="N1075" s="1"/>
  <c r="O1075" s="1"/>
  <c r="K1073"/>
  <c r="K1076"/>
  <c r="N1076" s="1"/>
  <c r="O1076" s="1"/>
  <c r="K1077"/>
  <c r="N1077" s="1"/>
  <c r="O1077" s="1"/>
  <c r="K1078"/>
  <c r="N1078" s="1"/>
  <c r="O1078" s="1"/>
  <c r="K1079"/>
  <c r="N1079" s="1"/>
  <c r="O1079" s="1"/>
  <c r="K1080"/>
  <c r="N1080" s="1"/>
  <c r="O1080" s="1"/>
  <c r="K1081"/>
  <c r="N1081" s="1"/>
  <c r="O1081" s="1"/>
  <c r="K1082"/>
  <c r="N1082" s="1"/>
  <c r="O1082" s="1"/>
  <c r="K1083"/>
  <c r="L1084"/>
  <c r="K1086"/>
  <c r="N1086" s="1"/>
  <c r="O1086" s="1"/>
  <c r="K1084"/>
  <c r="K1085"/>
  <c r="N1085" s="1"/>
  <c r="O1085" s="1"/>
  <c r="K1087"/>
  <c r="N1087" s="1"/>
  <c r="O1087" s="1"/>
  <c r="K1088"/>
  <c r="N1088" s="1"/>
  <c r="O1088" s="1"/>
  <c r="K1089"/>
  <c r="N1089" s="1"/>
  <c r="O1089" s="1"/>
  <c r="K1090"/>
  <c r="N1090" s="1"/>
  <c r="O1090" s="1"/>
  <c r="K1091"/>
  <c r="N1091" s="1"/>
  <c r="O1091" s="1"/>
  <c r="K1092"/>
  <c r="N1092" s="1"/>
  <c r="O1092" s="1"/>
  <c r="K1099"/>
  <c r="K1100"/>
  <c r="N1100" s="1"/>
  <c r="O1100" s="1"/>
  <c r="K1101"/>
  <c r="K1093"/>
  <c r="K1094"/>
  <c r="N1094" s="1"/>
  <c r="O1094" s="1"/>
  <c r="K1095"/>
  <c r="K1096"/>
  <c r="L1096"/>
  <c r="K1097"/>
  <c r="N1097" s="1"/>
  <c r="O1097" s="1"/>
  <c r="K1098"/>
  <c r="N1098" s="1"/>
  <c r="O1098" s="1"/>
  <c r="L1102"/>
  <c r="K1102"/>
  <c r="K1103"/>
  <c r="N1103" s="1"/>
  <c r="O1103" s="1"/>
  <c r="K1104"/>
  <c r="N1104" s="1"/>
  <c r="O1104" s="1"/>
  <c r="K1105"/>
  <c r="L1106"/>
  <c r="L1108"/>
  <c r="K1106"/>
  <c r="K1107"/>
  <c r="N1107" s="1"/>
  <c r="O1107" s="1"/>
  <c r="K1108"/>
  <c r="L1113"/>
  <c r="K1109"/>
  <c r="N1109" s="1"/>
  <c r="O1109" s="1"/>
  <c r="K1110"/>
  <c r="N1110" s="1"/>
  <c r="O1110" s="1"/>
  <c r="K1111"/>
  <c r="N1111" s="1"/>
  <c r="O1111" s="1"/>
  <c r="K1112"/>
  <c r="N1112" s="1"/>
  <c r="O1112" s="1"/>
  <c r="K1113"/>
  <c r="K1114"/>
  <c r="N1114" s="1"/>
  <c r="O1114" s="1"/>
  <c r="K1116"/>
  <c r="N1116" s="1"/>
  <c r="O1116" s="1"/>
  <c r="K1115"/>
  <c r="N1115" s="1"/>
  <c r="O1115" s="1"/>
  <c r="K1117"/>
  <c r="N1117" s="1"/>
  <c r="O1117" s="1"/>
  <c r="K1118"/>
  <c r="K1119"/>
  <c r="K1120"/>
  <c r="N1120" s="1"/>
  <c r="O1120" s="1"/>
  <c r="L1121"/>
  <c r="K1121"/>
  <c r="K1122"/>
  <c r="N1122" s="1"/>
  <c r="O1122" s="1"/>
  <c r="K1123"/>
  <c r="N1123" s="1"/>
  <c r="O1123" s="1"/>
  <c r="K1124"/>
  <c r="N1124" s="1"/>
  <c r="O1124" s="1"/>
  <c r="K1125"/>
  <c r="K1126"/>
  <c r="L1127"/>
  <c r="K1127"/>
  <c r="K1128"/>
  <c r="N1128" s="1"/>
  <c r="O1128" s="1"/>
  <c r="K1129"/>
  <c r="N1129" s="1"/>
  <c r="O1129" s="1"/>
  <c r="K1130"/>
  <c r="N1130" s="1"/>
  <c r="O1130" s="1"/>
  <c r="K1131"/>
  <c r="N1131" s="1"/>
  <c r="O1131" s="1"/>
  <c r="K1132"/>
  <c r="N1132" s="1"/>
  <c r="O1132" s="1"/>
  <c r="K1133"/>
  <c r="N1133" s="1"/>
  <c r="O1133" s="1"/>
  <c r="K1134"/>
  <c r="N1134" s="1"/>
  <c r="O1134" s="1"/>
  <c r="K1135"/>
  <c r="N1135" s="1"/>
  <c r="O1135" s="1"/>
  <c r="K1136"/>
  <c r="N1136" s="1"/>
  <c r="O1136" s="1"/>
  <c r="K1137"/>
  <c r="N1137" s="1"/>
  <c r="O1137" s="1"/>
  <c r="N1138"/>
  <c r="O1138" s="1"/>
  <c r="K1142"/>
  <c r="N1142" s="1"/>
  <c r="O1142" s="1"/>
  <c r="K1139"/>
  <c r="N1139" s="1"/>
  <c r="O1139" s="1"/>
  <c r="K1140"/>
  <c r="N1140" s="1"/>
  <c r="O1140" s="1"/>
  <c r="K1141"/>
  <c r="N1141" s="1"/>
  <c r="O1141" s="1"/>
  <c r="K1144"/>
  <c r="K1143"/>
  <c r="L1145"/>
  <c r="L1146"/>
  <c r="K1145"/>
  <c r="K1146"/>
  <c r="K1147"/>
  <c r="N1147" s="1"/>
  <c r="O1147" s="1"/>
  <c r="K1151"/>
  <c r="K1150"/>
  <c r="K1149"/>
  <c r="K1148"/>
  <c r="L1152"/>
  <c r="K1155"/>
  <c r="N1155" s="1"/>
  <c r="O1155" s="1"/>
  <c r="K1154"/>
  <c r="K1153"/>
  <c r="K1152"/>
  <c r="L1157"/>
  <c r="L1156"/>
  <c r="K1156"/>
  <c r="K1157"/>
  <c r="K1158"/>
  <c r="N1158" s="1"/>
  <c r="O1158" s="1"/>
  <c r="K1159"/>
  <c r="N1159" s="1"/>
  <c r="O1159" s="1"/>
  <c r="K1161"/>
  <c r="N1161" s="1"/>
  <c r="O1161" s="1"/>
  <c r="K1160"/>
  <c r="N1160" s="1"/>
  <c r="O1160" s="1"/>
  <c r="L1163"/>
  <c r="L1162"/>
  <c r="K1162"/>
  <c r="K1163"/>
  <c r="K1164"/>
  <c r="N1164" s="1"/>
  <c r="O1164" s="1"/>
  <c r="K1166"/>
  <c r="K1165"/>
  <c r="L1167"/>
  <c r="K1167"/>
  <c r="K1168"/>
  <c r="K1169"/>
  <c r="K1170"/>
  <c r="K1171"/>
  <c r="N1171" s="1"/>
  <c r="O1171" s="1"/>
  <c r="K1172"/>
  <c r="L1173"/>
  <c r="K1173"/>
  <c r="L1174"/>
  <c r="K1174"/>
  <c r="K1175"/>
  <c r="N1175" s="1"/>
  <c r="O1175" s="1"/>
  <c r="K1176"/>
  <c r="N1176" s="1"/>
  <c r="O1176" s="1"/>
  <c r="K1177"/>
  <c r="N1177" s="1"/>
  <c r="O1177" s="1"/>
  <c r="K1178"/>
  <c r="N1178" s="1"/>
  <c r="K1179"/>
  <c r="N1179" s="1"/>
  <c r="O1179" s="1"/>
  <c r="K1180"/>
  <c r="N1180" s="1"/>
  <c r="O1180" s="1"/>
  <c r="K1181"/>
  <c r="N1181" s="1"/>
  <c r="O1181" s="1"/>
  <c r="K1182"/>
  <c r="L1183"/>
  <c r="K1183"/>
  <c r="K1184"/>
  <c r="N1184" s="1"/>
  <c r="O1184" s="1"/>
  <c r="K1185"/>
  <c r="N1185" s="1"/>
  <c r="O1185" s="1"/>
  <c r="K1186"/>
  <c r="N1186" s="1"/>
  <c r="O1186" s="1"/>
  <c r="K1187"/>
  <c r="N1187" s="1"/>
  <c r="O1187" s="1"/>
  <c r="K1188"/>
  <c r="N1188" s="1"/>
  <c r="O1188" s="1"/>
  <c r="K1190"/>
  <c r="K1189"/>
  <c r="N1189" s="1"/>
  <c r="O1189" s="1"/>
  <c r="L1190"/>
  <c r="L1191"/>
  <c r="K1191"/>
  <c r="K1192"/>
  <c r="N1192" s="1"/>
  <c r="O1192" s="1"/>
  <c r="K1193"/>
  <c r="N1193" s="1"/>
  <c r="O1193" s="1"/>
  <c r="K1194"/>
  <c r="N1194" s="1"/>
  <c r="O1194" s="1"/>
  <c r="K1195"/>
  <c r="L1196"/>
  <c r="L1197"/>
  <c r="K1196"/>
  <c r="K1197"/>
  <c r="L1198"/>
  <c r="K1198"/>
  <c r="L1199"/>
  <c r="K1200"/>
  <c r="N1200" s="1"/>
  <c r="O1200" s="1"/>
  <c r="K1199"/>
  <c r="L1201"/>
  <c r="K1202"/>
  <c r="N1202" s="1"/>
  <c r="O1202" s="1"/>
  <c r="K1201"/>
  <c r="K1203"/>
  <c r="N1203" s="1"/>
  <c r="O1203" s="1"/>
  <c r="K1204"/>
  <c r="N1204" s="1"/>
  <c r="O1204" s="1"/>
  <c r="K1205"/>
  <c r="K1207"/>
  <c r="N1207" s="1"/>
  <c r="O1207" s="1"/>
  <c r="L1206"/>
  <c r="K1206"/>
  <c r="L1208"/>
  <c r="L1209"/>
  <c r="K1208"/>
  <c r="K1209"/>
  <c r="L1211"/>
  <c r="K1214"/>
  <c r="N1214" s="1"/>
  <c r="O1214" s="1"/>
  <c r="K1213"/>
  <c r="N1213" s="1"/>
  <c r="O1213" s="1"/>
  <c r="K1212"/>
  <c r="N1212" s="1"/>
  <c r="O1212" s="1"/>
  <c r="K1211"/>
  <c r="N1211" s="1"/>
  <c r="O1211" s="1"/>
  <c r="K1210"/>
  <c r="N1210" s="1"/>
  <c r="O1210" s="1"/>
  <c r="K1216"/>
  <c r="N1216" s="1"/>
  <c r="O1216" s="1"/>
  <c r="K1215"/>
  <c r="N1215" s="1"/>
  <c r="O1215" s="1"/>
  <c r="L1219"/>
  <c r="K1219"/>
  <c r="L1220"/>
  <c r="L1227"/>
  <c r="L1228"/>
  <c r="K1236"/>
  <c r="L1241"/>
  <c r="K1217"/>
  <c r="N1217" s="1"/>
  <c r="O1217" s="1"/>
  <c r="K1218"/>
  <c r="N1218" s="1"/>
  <c r="O1218" s="1"/>
  <c r="K1220"/>
  <c r="N1223"/>
  <c r="O1223" s="1"/>
  <c r="K1222"/>
  <c r="N1222" s="1"/>
  <c r="O1222" s="1"/>
  <c r="K1221"/>
  <c r="N1221" s="1"/>
  <c r="O1221" s="1"/>
  <c r="K1226"/>
  <c r="N1226" s="1"/>
  <c r="O1226" s="1"/>
  <c r="K1225"/>
  <c r="N1225" s="1"/>
  <c r="O1225" s="1"/>
  <c r="K1224"/>
  <c r="N1224" s="1"/>
  <c r="O1224" s="1"/>
  <c r="K1228"/>
  <c r="K1227"/>
  <c r="K1229"/>
  <c r="N1229" s="1"/>
  <c r="O1229" s="1"/>
  <c r="K1231"/>
  <c r="N1231" s="1"/>
  <c r="O1231" s="1"/>
  <c r="K1230"/>
  <c r="N1230" s="1"/>
  <c r="O1230" s="1"/>
  <c r="K1233"/>
  <c r="N1233" s="1"/>
  <c r="O1233" s="1"/>
  <c r="K1232"/>
  <c r="N1232" s="1"/>
  <c r="O1232" s="1"/>
  <c r="K1234"/>
  <c r="O1234"/>
  <c r="K1235"/>
  <c r="N1235" s="1"/>
  <c r="O1235" s="1"/>
  <c r="O1236"/>
  <c r="K1237"/>
  <c r="N1237" s="1"/>
  <c r="O1237" s="1"/>
  <c r="K1239"/>
  <c r="N1239" s="1"/>
  <c r="O1239" s="1"/>
  <c r="K1240"/>
  <c r="K1238"/>
  <c r="N1238" s="1"/>
  <c r="O1238" s="1"/>
  <c r="K1243"/>
  <c r="N1243" s="1"/>
  <c r="O1243" s="1"/>
  <c r="K1242"/>
  <c r="N1242" s="1"/>
  <c r="O1242" s="1"/>
  <c r="K1241"/>
  <c r="K1245"/>
  <c r="K1246"/>
  <c r="N1246" s="1"/>
  <c r="O1246" s="1"/>
  <c r="K1244"/>
  <c r="N1244" s="1"/>
  <c r="O1244" s="1"/>
  <c r="L1247"/>
  <c r="K1247"/>
  <c r="K1249"/>
  <c r="N1249" s="1"/>
  <c r="O1249" s="1"/>
  <c r="K1248"/>
  <c r="N1248" s="1"/>
  <c r="O1248" s="1"/>
  <c r="K1252"/>
  <c r="N1252" s="1"/>
  <c r="O1252" s="1"/>
  <c r="K1251"/>
  <c r="N1251" s="1"/>
  <c r="O1251" s="1"/>
  <c r="K1250"/>
  <c r="N1250" s="1"/>
  <c r="O1250" s="1"/>
  <c r="L1253"/>
  <c r="L1254"/>
  <c r="K1253"/>
  <c r="K1255"/>
  <c r="N1255" s="1"/>
  <c r="O1255" s="1"/>
  <c r="K1254"/>
  <c r="K1259"/>
  <c r="N1259" s="1"/>
  <c r="O1259" s="1"/>
  <c r="K1258"/>
  <c r="N1258" s="1"/>
  <c r="O1258" s="1"/>
  <c r="K1257"/>
  <c r="N1257" s="1"/>
  <c r="O1257" s="1"/>
  <c r="K1256"/>
  <c r="N1256" s="1"/>
  <c r="O1256" s="1"/>
  <c r="L1260"/>
  <c r="K1262"/>
  <c r="N1262" s="1"/>
  <c r="O1262" s="1"/>
  <c r="K1261"/>
  <c r="N1261" s="1"/>
  <c r="O1261" s="1"/>
  <c r="K1260"/>
  <c r="L1263"/>
  <c r="K1265"/>
  <c r="N1265" s="1"/>
  <c r="O1265" s="1"/>
  <c r="K1264"/>
  <c r="N1264" s="1"/>
  <c r="O1264" s="1"/>
  <c r="K1263"/>
  <c r="L1267"/>
  <c r="L1266"/>
  <c r="K1269"/>
  <c r="N1269" s="1"/>
  <c r="O1269" s="1"/>
  <c r="K1268"/>
  <c r="N1268" s="1"/>
  <c r="O1268" s="1"/>
  <c r="K1267"/>
  <c r="K1266"/>
  <c r="L1271"/>
  <c r="L1270"/>
  <c r="K1273"/>
  <c r="N1273" s="1"/>
  <c r="O1273" s="1"/>
  <c r="K1272"/>
  <c r="N1272" s="1"/>
  <c r="O1272" s="1"/>
  <c r="K1271"/>
  <c r="K1270"/>
  <c r="K1277"/>
  <c r="N1277" s="1"/>
  <c r="O1277" s="1"/>
  <c r="K1276"/>
  <c r="N1276" s="1"/>
  <c r="O1276" s="1"/>
  <c r="K1275"/>
  <c r="N1275" s="1"/>
  <c r="O1275" s="1"/>
  <c r="K1274"/>
  <c r="N1274" s="1"/>
  <c r="O1274" s="1"/>
  <c r="L1279"/>
  <c r="L1278"/>
  <c r="K1281"/>
  <c r="N1281" s="1"/>
  <c r="O1281" s="1"/>
  <c r="K1280"/>
  <c r="N1280" s="1"/>
  <c r="O1280" s="1"/>
  <c r="K1279"/>
  <c r="K1278"/>
  <c r="L1282"/>
  <c r="L1284"/>
  <c r="K1282"/>
  <c r="K1283"/>
  <c r="N1283" s="1"/>
  <c r="O1283" s="1"/>
  <c r="K1284"/>
  <c r="K1285"/>
  <c r="N1285" s="1"/>
  <c r="O1285" s="1"/>
  <c r="K1286"/>
  <c r="L1287"/>
  <c r="K1287"/>
  <c r="K1288"/>
  <c r="N1288" s="1"/>
  <c r="O1288" s="1"/>
  <c r="K1290"/>
  <c r="N1290" s="1"/>
  <c r="O1290" s="1"/>
  <c r="K1289"/>
  <c r="N1289" s="1"/>
  <c r="O1289" s="1"/>
  <c r="L1291"/>
  <c r="L1293"/>
  <c r="K1295"/>
  <c r="N1295" s="1"/>
  <c r="O1295" s="1"/>
  <c r="K1294"/>
  <c r="N1294" s="1"/>
  <c r="O1294" s="1"/>
  <c r="K1293"/>
  <c r="K1292"/>
  <c r="N1292" s="1"/>
  <c r="O1292" s="1"/>
  <c r="K1291"/>
  <c r="L1297"/>
  <c r="L1296"/>
  <c r="K1299"/>
  <c r="N1299" s="1"/>
  <c r="O1299" s="1"/>
  <c r="K1298"/>
  <c r="N1298" s="1"/>
  <c r="O1298" s="1"/>
  <c r="K1297"/>
  <c r="K1296"/>
  <c r="L1301"/>
  <c r="L1300"/>
  <c r="K1304"/>
  <c r="N1304" s="1"/>
  <c r="O1304" s="1"/>
  <c r="K1303"/>
  <c r="N1303" s="1"/>
  <c r="O1303" s="1"/>
  <c r="K1302"/>
  <c r="N1302" s="1"/>
  <c r="O1302" s="1"/>
  <c r="K1301"/>
  <c r="K1300"/>
  <c r="K1307"/>
  <c r="N1307" s="1"/>
  <c r="O1307" s="1"/>
  <c r="K1306"/>
  <c r="N1306" s="1"/>
  <c r="O1306" s="1"/>
  <c r="K1305"/>
  <c r="N1305" s="1"/>
  <c r="O1305" s="1"/>
  <c r="L1308"/>
  <c r="K1311"/>
  <c r="N1311" s="1"/>
  <c r="O1311" s="1"/>
  <c r="K1310"/>
  <c r="N1310" s="1"/>
  <c r="O1310" s="1"/>
  <c r="K1309"/>
  <c r="N1309" s="1"/>
  <c r="O1309" s="1"/>
  <c r="K1308"/>
  <c r="L1312"/>
  <c r="K1315"/>
  <c r="N1315" s="1"/>
  <c r="O1315" s="1"/>
  <c r="K1314"/>
  <c r="N1314" s="1"/>
  <c r="O1314" s="1"/>
  <c r="K1313"/>
  <c r="N1313" s="1"/>
  <c r="O1313" s="1"/>
  <c r="K1312"/>
  <c r="K1318"/>
  <c r="N1318" s="1"/>
  <c r="O1318" s="1"/>
  <c r="K1317"/>
  <c r="N1317" s="1"/>
  <c r="O1317" s="1"/>
  <c r="K1316"/>
  <c r="N1316" s="1"/>
  <c r="O1316" s="1"/>
  <c r="K1322"/>
  <c r="N1322" s="1"/>
  <c r="O1322" s="1"/>
  <c r="K1321"/>
  <c r="N1321" s="1"/>
  <c r="O1321" s="1"/>
  <c r="K1320"/>
  <c r="N1320" s="1"/>
  <c r="O1320" s="1"/>
  <c r="K1319"/>
  <c r="N1319" s="1"/>
  <c r="O1319" s="1"/>
  <c r="K1325"/>
  <c r="N1325" s="1"/>
  <c r="O1325" s="1"/>
  <c r="K1324"/>
  <c r="N1324" s="1"/>
  <c r="O1324" s="1"/>
  <c r="K1323"/>
  <c r="N1323" s="1"/>
  <c r="O1323" s="1"/>
  <c r="L1327"/>
  <c r="L1326"/>
  <c r="K1329"/>
  <c r="N1329" s="1"/>
  <c r="O1329" s="1"/>
  <c r="K1328"/>
  <c r="N1328" s="1"/>
  <c r="O1328" s="1"/>
  <c r="K1327"/>
  <c r="K1326"/>
  <c r="L1330"/>
  <c r="K1332"/>
  <c r="N1332" s="1"/>
  <c r="O1332" s="1"/>
  <c r="K1331"/>
  <c r="N1331" s="1"/>
  <c r="O1331" s="1"/>
  <c r="K1330"/>
  <c r="L1333"/>
  <c r="K1337"/>
  <c r="N1337" s="1"/>
  <c r="O1337" s="1"/>
  <c r="K1336"/>
  <c r="N1336" s="1"/>
  <c r="O1336" s="1"/>
  <c r="K1335"/>
  <c r="N1335" s="1"/>
  <c r="O1335" s="1"/>
  <c r="K1334"/>
  <c r="N1334" s="1"/>
  <c r="O1334" s="1"/>
  <c r="K1333"/>
  <c r="L1338"/>
  <c r="K1341"/>
  <c r="N1341" s="1"/>
  <c r="O1341" s="1"/>
  <c r="K1340"/>
  <c r="N1340" s="1"/>
  <c r="O1340" s="1"/>
  <c r="K1339"/>
  <c r="N1339" s="1"/>
  <c r="O1339" s="1"/>
  <c r="K1338"/>
  <c r="L1344"/>
  <c r="L1342"/>
  <c r="L1343"/>
  <c r="K1345"/>
  <c r="N1345" s="1"/>
  <c r="O1345" s="1"/>
  <c r="K1344"/>
  <c r="N1344" s="1"/>
  <c r="O1344" s="1"/>
  <c r="K1342"/>
  <c r="K1343"/>
  <c r="L1347"/>
  <c r="L1346"/>
  <c r="K1348"/>
  <c r="N1348" s="1"/>
  <c r="O1348" s="1"/>
  <c r="K1347"/>
  <c r="K1346"/>
  <c r="L1350"/>
  <c r="L1349"/>
  <c r="K1352"/>
  <c r="N1352" s="1"/>
  <c r="O1352" s="1"/>
  <c r="K1351"/>
  <c r="N1351" s="1"/>
  <c r="O1351" s="1"/>
  <c r="K1350"/>
  <c r="K1349"/>
  <c r="L1353"/>
  <c r="K1355"/>
  <c r="N1355" s="1"/>
  <c r="O1355" s="1"/>
  <c r="K1354"/>
  <c r="N1354" s="1"/>
  <c r="O1354" s="1"/>
  <c r="K1353"/>
  <c r="L1356"/>
  <c r="K1356"/>
  <c r="K1359"/>
  <c r="N1359" s="1"/>
  <c r="O1359" s="1"/>
  <c r="K1358"/>
  <c r="N1358" s="1"/>
  <c r="O1358" s="1"/>
  <c r="K1357"/>
  <c r="N1357" s="1"/>
  <c r="O1357" s="1"/>
  <c r="L1360"/>
  <c r="K1361"/>
  <c r="N1361" s="1"/>
  <c r="O1361" s="1"/>
  <c r="K1360"/>
  <c r="L1363"/>
  <c r="K1366"/>
  <c r="N1366" s="1"/>
  <c r="O1366" s="1"/>
  <c r="K1365"/>
  <c r="N1365" s="1"/>
  <c r="O1365" s="1"/>
  <c r="K1364"/>
  <c r="N1364" s="1"/>
  <c r="O1364" s="1"/>
  <c r="K1363"/>
  <c r="K1362"/>
  <c r="N1362" s="1"/>
  <c r="O1362" s="1"/>
  <c r="L1367"/>
  <c r="K1371"/>
  <c r="N1371" s="1"/>
  <c r="O1371" s="1"/>
  <c r="K1370"/>
  <c r="N1370" s="1"/>
  <c r="O1370" s="1"/>
  <c r="K1369"/>
  <c r="N1369" s="1"/>
  <c r="O1369" s="1"/>
  <c r="K1368"/>
  <c r="N1368" s="1"/>
  <c r="O1368" s="1"/>
  <c r="K1367"/>
  <c r="K1373"/>
  <c r="N1373" s="1"/>
  <c r="O1373" s="1"/>
  <c r="K1372"/>
  <c r="N1372" s="1"/>
  <c r="O1372" s="1"/>
  <c r="K1378"/>
  <c r="N1378" s="1"/>
  <c r="O1378" s="1"/>
  <c r="L1374"/>
  <c r="K1377"/>
  <c r="N1377" s="1"/>
  <c r="O1377" s="1"/>
  <c r="K1376"/>
  <c r="N1376" s="1"/>
  <c r="O1376" s="1"/>
  <c r="K1375"/>
  <c r="N1375" s="1"/>
  <c r="O1375" s="1"/>
  <c r="K1374"/>
  <c r="L1379"/>
  <c r="K1381"/>
  <c r="N1381" s="1"/>
  <c r="O1381" s="1"/>
  <c r="K1380"/>
  <c r="N1380" s="1"/>
  <c r="O1380" s="1"/>
  <c r="K1379"/>
  <c r="K1387"/>
  <c r="N1387" s="1"/>
  <c r="O1387" s="1"/>
  <c r="K1386"/>
  <c r="N1386" s="1"/>
  <c r="O1386" s="1"/>
  <c r="K1385"/>
  <c r="N1385" s="1"/>
  <c r="O1385" s="1"/>
  <c r="K1384"/>
  <c r="N1384" s="1"/>
  <c r="O1384" s="1"/>
  <c r="K1383"/>
  <c r="N1383" s="1"/>
  <c r="O1383" s="1"/>
  <c r="K1382"/>
  <c r="N1382" s="1"/>
  <c r="O1382" s="1"/>
  <c r="L1389"/>
  <c r="L1388"/>
  <c r="K1391"/>
  <c r="N1391" s="1"/>
  <c r="O1391" s="1"/>
  <c r="K1390"/>
  <c r="N1390" s="1"/>
  <c r="O1390" s="1"/>
  <c r="K1389"/>
  <c r="K1388"/>
  <c r="N1388" s="1"/>
  <c r="O1388" s="1"/>
  <c r="L1392"/>
  <c r="K1394"/>
  <c r="N1394" s="1"/>
  <c r="O1394" s="1"/>
  <c r="K1393"/>
  <c r="N1393" s="1"/>
  <c r="O1393" s="1"/>
  <c r="K1392"/>
  <c r="L1395"/>
  <c r="K1395"/>
  <c r="K1397"/>
  <c r="N1397" s="1"/>
  <c r="O1397" s="1"/>
  <c r="K1396"/>
  <c r="N1396" s="1"/>
  <c r="O1396" s="1"/>
  <c r="L1398"/>
  <c r="K1401"/>
  <c r="N1401" s="1"/>
  <c r="O1401" s="1"/>
  <c r="K1400"/>
  <c r="N1400" s="1"/>
  <c r="O1400" s="1"/>
  <c r="K1399"/>
  <c r="N1399" s="1"/>
  <c r="O1399" s="1"/>
  <c r="K1398"/>
  <c r="L1402"/>
  <c r="K1402"/>
  <c r="K1405"/>
  <c r="N1405" s="1"/>
  <c r="O1405" s="1"/>
  <c r="K1404"/>
  <c r="N1404" s="1"/>
  <c r="O1404" s="1"/>
  <c r="K1403"/>
  <c r="N1403" s="1"/>
  <c r="O1403" s="1"/>
  <c r="L1407"/>
  <c r="L1406"/>
  <c r="K1409"/>
  <c r="K1408"/>
  <c r="K1407"/>
  <c r="K1406"/>
  <c r="L1413"/>
  <c r="L1412"/>
  <c r="L1410"/>
  <c r="L1411"/>
  <c r="K1414"/>
  <c r="N1414" s="1"/>
  <c r="O1414" s="1"/>
  <c r="K1413"/>
  <c r="K1412"/>
  <c r="K1410"/>
  <c r="K1411"/>
  <c r="L1415"/>
  <c r="K1418"/>
  <c r="N1418" s="1"/>
  <c r="O1418" s="1"/>
  <c r="K1417"/>
  <c r="N1417" s="1"/>
  <c r="O1417" s="1"/>
  <c r="K1416"/>
  <c r="N1416" s="1"/>
  <c r="O1416" s="1"/>
  <c r="K1415"/>
  <c r="L1421"/>
  <c r="L1419"/>
  <c r="K1421"/>
  <c r="K1420"/>
  <c r="N1420" s="1"/>
  <c r="O1420" s="1"/>
  <c r="K1419"/>
  <c r="L1422"/>
  <c r="K1426"/>
  <c r="N1426" s="1"/>
  <c r="O1426" s="1"/>
  <c r="K1425"/>
  <c r="N1425" s="1"/>
  <c r="O1425" s="1"/>
  <c r="K1424"/>
  <c r="N1424" s="1"/>
  <c r="O1424" s="1"/>
  <c r="K1423"/>
  <c r="N1423" s="1"/>
  <c r="O1423" s="1"/>
  <c r="K1422"/>
  <c r="L1428"/>
  <c r="L1427"/>
  <c r="K1429"/>
  <c r="N1429" s="1"/>
  <c r="O1429" s="1"/>
  <c r="K1428"/>
  <c r="K1427"/>
  <c r="L1430"/>
  <c r="K1433"/>
  <c r="N1433" s="1"/>
  <c r="O1433" s="1"/>
  <c r="K1432"/>
  <c r="N1432" s="1"/>
  <c r="O1432" s="1"/>
  <c r="K1431"/>
  <c r="N1431" s="1"/>
  <c r="O1431" s="1"/>
  <c r="K1430"/>
  <c r="L1434"/>
  <c r="L1435"/>
  <c r="K1436"/>
  <c r="N1436" s="1"/>
  <c r="O1436" s="1"/>
  <c r="K1434"/>
  <c r="K1435"/>
  <c r="L1439"/>
  <c r="L1438"/>
  <c r="K1440"/>
  <c r="N1440" s="1"/>
  <c r="O1440" s="1"/>
  <c r="K1439"/>
  <c r="K1438"/>
  <c r="K1437"/>
  <c r="N1437" s="1"/>
  <c r="O1437" s="1"/>
  <c r="K1444"/>
  <c r="N1444" s="1"/>
  <c r="O1444" s="1"/>
  <c r="K1443"/>
  <c r="N1443" s="1"/>
  <c r="O1443" s="1"/>
  <c r="K1442"/>
  <c r="N1442" s="1"/>
  <c r="O1442" s="1"/>
  <c r="K1441"/>
  <c r="N1441" s="1"/>
  <c r="O1441" s="1"/>
  <c r="L1447"/>
  <c r="L1445"/>
  <c r="K1447"/>
  <c r="K1446"/>
  <c r="N1446" s="1"/>
  <c r="O1446" s="1"/>
  <c r="K1445"/>
  <c r="L1450"/>
  <c r="K1451"/>
  <c r="N1451" s="1"/>
  <c r="O1451" s="1"/>
  <c r="K1450"/>
  <c r="K1449"/>
  <c r="N1449" s="1"/>
  <c r="O1449" s="1"/>
  <c r="K1448"/>
  <c r="N1448" s="1"/>
  <c r="O1448" s="1"/>
  <c r="L1452"/>
  <c r="K1452"/>
  <c r="K1455"/>
  <c r="N1455" s="1"/>
  <c r="O1455" s="1"/>
  <c r="K1454"/>
  <c r="N1454" s="1"/>
  <c r="O1454" s="1"/>
  <c r="K1453"/>
  <c r="N1453" s="1"/>
  <c r="O1453" s="1"/>
  <c r="L1457"/>
  <c r="L1456"/>
  <c r="K1459"/>
  <c r="N1459" s="1"/>
  <c r="O1459" s="1"/>
  <c r="K1458"/>
  <c r="K1457"/>
  <c r="N1457" s="1"/>
  <c r="O1457" s="1"/>
  <c r="K1456"/>
  <c r="L1460"/>
  <c r="K1462"/>
  <c r="N1462" s="1"/>
  <c r="O1462" s="1"/>
  <c r="K1461"/>
  <c r="N1461" s="1"/>
  <c r="O1461" s="1"/>
  <c r="L1466"/>
  <c r="L1463"/>
  <c r="K1466"/>
  <c r="K1465"/>
  <c r="N1465" s="1"/>
  <c r="O1465" s="1"/>
  <c r="K1463"/>
  <c r="K1464"/>
  <c r="N1464" s="1"/>
  <c r="O1464" s="1"/>
  <c r="K1460"/>
  <c r="K1470"/>
  <c r="N1470" s="1"/>
  <c r="O1470" s="1"/>
  <c r="K1469"/>
  <c r="N1469" s="1"/>
  <c r="O1469" s="1"/>
  <c r="K1468"/>
  <c r="N1468" s="1"/>
  <c r="O1468" s="1"/>
  <c r="K1467"/>
  <c r="N1467" s="1"/>
  <c r="O1467" s="1"/>
  <c r="K1472"/>
  <c r="N1472" s="1"/>
  <c r="O1472" s="1"/>
  <c r="K1471"/>
  <c r="N1471" s="1"/>
  <c r="O1471" s="1"/>
  <c r="L1473"/>
  <c r="K1476"/>
  <c r="N1476" s="1"/>
  <c r="O1476" s="1"/>
  <c r="K1475"/>
  <c r="N1475" s="1"/>
  <c r="O1475" s="1"/>
  <c r="K1474"/>
  <c r="N1474" s="1"/>
  <c r="O1474" s="1"/>
  <c r="K1473"/>
  <c r="N1473" s="1"/>
  <c r="O1473" s="1"/>
  <c r="K1478"/>
  <c r="N1478" s="1"/>
  <c r="O1478" s="1"/>
  <c r="K1477"/>
  <c r="N1477" s="1"/>
  <c r="O1477" s="1"/>
  <c r="L1479"/>
  <c r="K1480"/>
  <c r="N1480" s="1"/>
  <c r="O1480" s="1"/>
  <c r="K1479"/>
  <c r="K1484"/>
  <c r="N1484" s="1"/>
  <c r="O1484" s="1"/>
  <c r="L1481"/>
  <c r="K1483"/>
  <c r="N1483" s="1"/>
  <c r="O1483" s="1"/>
  <c r="K1482"/>
  <c r="N1482" s="1"/>
  <c r="O1482" s="1"/>
  <c r="K1481"/>
  <c r="K1485"/>
  <c r="N1485" s="1"/>
  <c r="O1485" s="1"/>
  <c r="K1487"/>
  <c r="N1487" s="1"/>
  <c r="O1487" s="1"/>
  <c r="K1486"/>
  <c r="N1486" s="1"/>
  <c r="O1486" s="1"/>
  <c r="K1489"/>
  <c r="N1489" s="1"/>
  <c r="O1489" s="1"/>
  <c r="K1488"/>
  <c r="N1488" s="1"/>
  <c r="O1488" s="1"/>
  <c r="L1490"/>
  <c r="K1491"/>
  <c r="N1491" s="1"/>
  <c r="O1491" s="1"/>
  <c r="K1490"/>
  <c r="K1492"/>
  <c r="N1492" s="1"/>
  <c r="O1492" s="1"/>
  <c r="N1495"/>
  <c r="O1495" s="1"/>
  <c r="K1494"/>
  <c r="N1494" s="1"/>
  <c r="O1494" s="1"/>
  <c r="N1493"/>
  <c r="O1493" s="1"/>
  <c r="K1496"/>
  <c r="L1497"/>
  <c r="K1497"/>
  <c r="N1498"/>
  <c r="O1498" s="1"/>
  <c r="N1499"/>
  <c r="O1499" s="1"/>
  <c r="K1501"/>
  <c r="N1501" s="1"/>
  <c r="O1501" s="1"/>
  <c r="K1500"/>
  <c r="N1500" s="1"/>
  <c r="O1500" s="1"/>
  <c r="K1502"/>
  <c r="K1503"/>
  <c r="L1504"/>
  <c r="K1505"/>
  <c r="K1504"/>
  <c r="L1506"/>
  <c r="K1506"/>
  <c r="L1509"/>
  <c r="K1509"/>
  <c r="K1510"/>
  <c r="N1510" s="1"/>
  <c r="O1510" s="1"/>
  <c r="L1511"/>
  <c r="K1512"/>
  <c r="N1512" s="1"/>
  <c r="O1512" s="1"/>
  <c r="K1511"/>
  <c r="K1513"/>
  <c r="N1513" s="1"/>
  <c r="O1513" s="1"/>
  <c r="K1515"/>
  <c r="L1514"/>
  <c r="K1514"/>
  <c r="L1516"/>
  <c r="K1516"/>
  <c r="L1517"/>
  <c r="K1518"/>
  <c r="K1517"/>
  <c r="K1520"/>
  <c r="N1520" s="1"/>
  <c r="O1520" s="1"/>
  <c r="L1519"/>
  <c r="K1519"/>
  <c r="K1523"/>
  <c r="N1523" s="1"/>
  <c r="O1523" s="1"/>
  <c r="L1521"/>
  <c r="K1522"/>
  <c r="N1522" s="1"/>
  <c r="O1522" s="1"/>
  <c r="K1521"/>
  <c r="K1524"/>
  <c r="L1525"/>
  <c r="K1527"/>
  <c r="N1527" s="1"/>
  <c r="O1527" s="1"/>
  <c r="K1526"/>
  <c r="N1526" s="1"/>
  <c r="O1526" s="1"/>
  <c r="K1525"/>
  <c r="K1529"/>
  <c r="N1529" s="1"/>
  <c r="O1529" s="1"/>
  <c r="K1528"/>
  <c r="N1528" s="1"/>
  <c r="O1528" s="1"/>
  <c r="N1531"/>
  <c r="O1531" s="1"/>
  <c r="K1530"/>
  <c r="N1530" s="1"/>
  <c r="O1530" s="1"/>
  <c r="L1532"/>
  <c r="K1533"/>
  <c r="N1533" s="1"/>
  <c r="O1533" s="1"/>
  <c r="K1532"/>
  <c r="K1536"/>
  <c r="N1536" s="1"/>
  <c r="O1536" s="1"/>
  <c r="K1535"/>
  <c r="N1535" s="1"/>
  <c r="O1535" s="1"/>
  <c r="K1534"/>
  <c r="L1537"/>
  <c r="K1541"/>
  <c r="K1540"/>
  <c r="K1539"/>
  <c r="N1539" s="1"/>
  <c r="O1539" s="1"/>
  <c r="K1538"/>
  <c r="N1538" s="1"/>
  <c r="O1538" s="1"/>
  <c r="K1537"/>
  <c r="L1542"/>
  <c r="K1543"/>
  <c r="N1543" s="1"/>
  <c r="O1543" s="1"/>
  <c r="K1542"/>
  <c r="K1544"/>
  <c r="N1544" s="1"/>
  <c r="O1544" s="1"/>
  <c r="L1546"/>
  <c r="K1548"/>
  <c r="N1548" s="1"/>
  <c r="O1548" s="1"/>
  <c r="K1546"/>
  <c r="K1547"/>
  <c r="N1547" s="1"/>
  <c r="O1547" s="1"/>
  <c r="K1551"/>
  <c r="N1551" s="1"/>
  <c r="O1551" s="1"/>
  <c r="N1550"/>
  <c r="O1550" s="1"/>
  <c r="K1549"/>
  <c r="N1549" s="1"/>
  <c r="O1549" s="1"/>
  <c r="K1552"/>
  <c r="N1552" s="1"/>
  <c r="O1552" s="1"/>
  <c r="K1554"/>
  <c r="N1554" s="1"/>
  <c r="O1554" s="1"/>
  <c r="K1553"/>
  <c r="N1553" s="1"/>
  <c r="O1553" s="1"/>
  <c r="N1558"/>
  <c r="O1558" s="1"/>
  <c r="K1557"/>
  <c r="N1557" s="1"/>
  <c r="O1557" s="1"/>
  <c r="K1556"/>
  <c r="K1555"/>
  <c r="L1559"/>
  <c r="K1560"/>
  <c r="N1560" s="1"/>
  <c r="O1560" s="1"/>
  <c r="K1559"/>
  <c r="K1562"/>
  <c r="N1562" s="1"/>
  <c r="O1562" s="1"/>
  <c r="K1561"/>
  <c r="N1561" s="1"/>
  <c r="O1561" s="1"/>
  <c r="K1564"/>
  <c r="N1564" s="1"/>
  <c r="O1564" s="1"/>
  <c r="K1563"/>
  <c r="N1563" s="1"/>
  <c r="O1563" s="1"/>
  <c r="K1567"/>
  <c r="N1567" s="1"/>
  <c r="O1567" s="1"/>
  <c r="K1566"/>
  <c r="N1566" s="1"/>
  <c r="O1566" s="1"/>
  <c r="K1565"/>
  <c r="N1565" s="1"/>
  <c r="O1565" s="1"/>
  <c r="K1569"/>
  <c r="N1569" s="1"/>
  <c r="O1569" s="1"/>
  <c r="K1568"/>
  <c r="N1568" s="1"/>
  <c r="O1568" s="1"/>
  <c r="K1571"/>
  <c r="N1571" s="1"/>
  <c r="O1571" s="1"/>
  <c r="K1570"/>
  <c r="N1570" s="1"/>
  <c r="O1570" s="1"/>
  <c r="K1573"/>
  <c r="N1573" s="1"/>
  <c r="O1573" s="1"/>
  <c r="K1572"/>
  <c r="N1572" s="1"/>
  <c r="O1572" s="1"/>
  <c r="L1574"/>
  <c r="K1576"/>
  <c r="N1576" s="1"/>
  <c r="O1576" s="1"/>
  <c r="K1575"/>
  <c r="N1575" s="1"/>
  <c r="O1575" s="1"/>
  <c r="K1574"/>
  <c r="N1577"/>
  <c r="O1577" s="1"/>
  <c r="K1578"/>
  <c r="L1579"/>
  <c r="K1579"/>
  <c r="L1580"/>
  <c r="K1582"/>
  <c r="K1581"/>
  <c r="K1580"/>
  <c r="N441" l="1"/>
  <c r="O441" s="1"/>
  <c r="N452"/>
  <c r="O452" s="1"/>
  <c r="N387"/>
  <c r="O387" s="1"/>
  <c r="N636"/>
  <c r="O636" s="1"/>
  <c r="N536"/>
  <c r="O536" s="1"/>
  <c r="N474"/>
  <c r="O474" s="1"/>
  <c r="N376"/>
  <c r="O376" s="1"/>
  <c r="N393"/>
  <c r="O393" s="1"/>
  <c r="N391"/>
  <c r="O391" s="1"/>
  <c r="N357"/>
  <c r="O357" s="1"/>
  <c r="N493"/>
  <c r="O493" s="1"/>
  <c r="N470"/>
  <c r="O470" s="1"/>
  <c r="N356"/>
  <c r="O356" s="1"/>
  <c r="N545"/>
  <c r="O545" s="1"/>
  <c r="N409"/>
  <c r="O409" s="1"/>
  <c r="N644"/>
  <c r="O644" s="1"/>
  <c r="N459"/>
  <c r="O459" s="1"/>
  <c r="N456"/>
  <c r="O456" s="1"/>
  <c r="N427"/>
  <c r="O427" s="1"/>
  <c r="N397"/>
  <c r="O397" s="1"/>
  <c r="N526"/>
  <c r="O526" s="1"/>
  <c r="N478"/>
  <c r="O478" s="1"/>
  <c r="N451"/>
  <c r="O451" s="1"/>
  <c r="N413"/>
  <c r="O413" s="1"/>
  <c r="N421"/>
  <c r="O421" s="1"/>
  <c r="N412"/>
  <c r="O412" s="1"/>
  <c r="N475"/>
  <c r="O475" s="1"/>
  <c r="N426"/>
  <c r="O426" s="1"/>
  <c r="N407"/>
  <c r="O407" s="1"/>
  <c r="N395"/>
  <c r="O395" s="1"/>
  <c r="N373"/>
  <c r="O373" s="1"/>
  <c r="N389"/>
  <c r="O389" s="1"/>
  <c r="N547"/>
  <c r="O547" s="1"/>
  <c r="N438"/>
  <c r="O438" s="1"/>
  <c r="N367"/>
  <c r="O367" s="1"/>
  <c r="N370"/>
  <c r="O370" s="1"/>
  <c r="N371"/>
  <c r="O371" s="1"/>
  <c r="N375"/>
  <c r="O375" s="1"/>
  <c r="N394"/>
  <c r="O394" s="1"/>
  <c r="N396"/>
  <c r="O396" s="1"/>
  <c r="N402"/>
  <c r="O402" s="1"/>
  <c r="N410"/>
  <c r="O410" s="1"/>
  <c r="N411"/>
  <c r="O411" s="1"/>
  <c r="N416"/>
  <c r="O416" s="1"/>
  <c r="N425"/>
  <c r="O425" s="1"/>
  <c r="N462"/>
  <c r="O462" s="1"/>
  <c r="N463"/>
  <c r="O463" s="1"/>
  <c r="N464"/>
  <c r="O464" s="1"/>
  <c r="N467"/>
  <c r="O467" s="1"/>
  <c r="N468"/>
  <c r="O468" s="1"/>
  <c r="N472"/>
  <c r="O472" s="1"/>
  <c r="N473"/>
  <c r="O473" s="1"/>
  <c r="N476"/>
  <c r="O476" s="1"/>
  <c r="N477"/>
  <c r="O477" s="1"/>
  <c r="N479"/>
  <c r="O479" s="1"/>
  <c r="N489"/>
  <c r="O489" s="1"/>
  <c r="N500"/>
  <c r="O500" s="1"/>
  <c r="N501"/>
  <c r="O501" s="1"/>
  <c r="N519"/>
  <c r="O519" s="1"/>
  <c r="N520"/>
  <c r="O520" s="1"/>
  <c r="N523"/>
  <c r="O523" s="1"/>
  <c r="N539"/>
  <c r="O539" s="1"/>
  <c r="N541"/>
  <c r="O541" s="1"/>
  <c r="N544"/>
  <c r="O544" s="1"/>
  <c r="N561"/>
  <c r="O561" s="1"/>
  <c r="N546"/>
  <c r="O546" s="1"/>
  <c r="N548"/>
  <c r="O548" s="1"/>
  <c r="N556"/>
  <c r="O556" s="1"/>
  <c r="N586"/>
  <c r="O586" s="1"/>
  <c r="N554"/>
  <c r="O554" s="1"/>
  <c r="N573"/>
  <c r="O573" s="1"/>
  <c r="N862"/>
  <c r="O862" s="1"/>
  <c r="N686"/>
  <c r="O686" s="1"/>
  <c r="N1018"/>
  <c r="O1018" s="1"/>
  <c r="N748"/>
  <c r="O748" s="1"/>
  <c r="N622"/>
  <c r="O622" s="1"/>
  <c r="N577"/>
  <c r="O577" s="1"/>
  <c r="N1040"/>
  <c r="O1040" s="1"/>
  <c r="N587"/>
  <c r="O587" s="1"/>
  <c r="N631"/>
  <c r="O631" s="1"/>
  <c r="N1084"/>
  <c r="O1084" s="1"/>
  <c r="N1041"/>
  <c r="O1041" s="1"/>
  <c r="N804"/>
  <c r="O804" s="1"/>
  <c r="N575"/>
  <c r="O575" s="1"/>
  <c r="N1106"/>
  <c r="O1106" s="1"/>
  <c r="N1005"/>
  <c r="O1005" s="1"/>
  <c r="N946"/>
  <c r="O946" s="1"/>
  <c r="N747"/>
  <c r="O747" s="1"/>
  <c r="N564"/>
  <c r="O564" s="1"/>
  <c r="N565"/>
  <c r="O565" s="1"/>
  <c r="N568"/>
  <c r="O568" s="1"/>
  <c r="N601"/>
  <c r="O601" s="1"/>
  <c r="N604"/>
  <c r="O604" s="1"/>
  <c r="N614"/>
  <c r="O614" s="1"/>
  <c r="N615"/>
  <c r="O615" s="1"/>
  <c r="N617"/>
  <c r="O617" s="1"/>
  <c r="N618"/>
  <c r="O618" s="1"/>
  <c r="N621"/>
  <c r="O621" s="1"/>
  <c r="N629"/>
  <c r="O629" s="1"/>
  <c r="N630"/>
  <c r="O630" s="1"/>
  <c r="N661"/>
  <c r="O661" s="1"/>
  <c r="N652"/>
  <c r="O652" s="1"/>
  <c r="N890"/>
  <c r="O890" s="1"/>
  <c r="N769"/>
  <c r="O769" s="1"/>
  <c r="N763"/>
  <c r="O763" s="1"/>
  <c r="N774"/>
  <c r="O774" s="1"/>
  <c r="N740"/>
  <c r="O740" s="1"/>
  <c r="N675"/>
  <c r="O675" s="1"/>
  <c r="N649"/>
  <c r="O649" s="1"/>
  <c r="N656"/>
  <c r="O656" s="1"/>
  <c r="N657"/>
  <c r="O657" s="1"/>
  <c r="N658"/>
  <c r="O658" s="1"/>
  <c r="N659"/>
  <c r="O659" s="1"/>
  <c r="N660"/>
  <c r="O660" s="1"/>
  <c r="N663"/>
  <c r="O663" s="1"/>
  <c r="N664"/>
  <c r="O664" s="1"/>
  <c r="N666"/>
  <c r="O666" s="1"/>
  <c r="N697"/>
  <c r="O697" s="1"/>
  <c r="N698"/>
  <c r="O698" s="1"/>
  <c r="N699"/>
  <c r="O699" s="1"/>
  <c r="N700"/>
  <c r="O700" s="1"/>
  <c r="N701"/>
  <c r="O701" s="1"/>
  <c r="N745"/>
  <c r="O745" s="1"/>
  <c r="N746"/>
  <c r="O746" s="1"/>
  <c r="N770"/>
  <c r="O770" s="1"/>
  <c r="N771"/>
  <c r="O771" s="1"/>
  <c r="N772"/>
  <c r="O772" s="1"/>
  <c r="N773"/>
  <c r="O773" s="1"/>
  <c r="N814"/>
  <c r="O814" s="1"/>
  <c r="N811"/>
  <c r="O811" s="1"/>
  <c r="N812"/>
  <c r="O812" s="1"/>
  <c r="N813"/>
  <c r="O813" s="1"/>
  <c r="N817"/>
  <c r="O817" s="1"/>
  <c r="N818"/>
  <c r="O818" s="1"/>
  <c r="N819"/>
  <c r="O819" s="1"/>
  <c r="N820"/>
  <c r="O820" s="1"/>
  <c r="N873"/>
  <c r="O873" s="1"/>
  <c r="N861"/>
  <c r="O861" s="1"/>
  <c r="N835"/>
  <c r="O835" s="1"/>
  <c r="N830"/>
  <c r="O830" s="1"/>
  <c r="N821"/>
  <c r="O821" s="1"/>
  <c r="N893"/>
  <c r="O893" s="1"/>
  <c r="N884"/>
  <c r="O884" s="1"/>
  <c r="N844"/>
  <c r="O844" s="1"/>
  <c r="N828"/>
  <c r="O828" s="1"/>
  <c r="N829"/>
  <c r="O829" s="1"/>
  <c r="N832"/>
  <c r="O832" s="1"/>
  <c r="N833"/>
  <c r="O833" s="1"/>
  <c r="N834"/>
  <c r="O834" s="1"/>
  <c r="N837"/>
  <c r="O837" s="1"/>
  <c r="N838"/>
  <c r="O838" s="1"/>
  <c r="N839"/>
  <c r="O839" s="1"/>
  <c r="N840"/>
  <c r="O840" s="1"/>
  <c r="N841"/>
  <c r="O841" s="1"/>
  <c r="N842"/>
  <c r="O842" s="1"/>
  <c r="N843"/>
  <c r="O843" s="1"/>
  <c r="N848"/>
  <c r="O848" s="1"/>
  <c r="N849"/>
  <c r="O849" s="1"/>
  <c r="N846"/>
  <c r="O846" s="1"/>
  <c r="N847"/>
  <c r="O847" s="1"/>
  <c r="N850"/>
  <c r="O850" s="1"/>
  <c r="N851"/>
  <c r="O851" s="1"/>
  <c r="N852"/>
  <c r="O852" s="1"/>
  <c r="N855"/>
  <c r="O855" s="1"/>
  <c r="N856"/>
  <c r="O856" s="1"/>
  <c r="N853"/>
  <c r="O853" s="1"/>
  <c r="N854"/>
  <c r="O854" s="1"/>
  <c r="N857"/>
  <c r="O857" s="1"/>
  <c r="N858"/>
  <c r="O858" s="1"/>
  <c r="N859"/>
  <c r="O859" s="1"/>
  <c r="N860"/>
  <c r="O860" s="1"/>
  <c r="N986"/>
  <c r="O986" s="1"/>
  <c r="N969"/>
  <c r="O969" s="1"/>
  <c r="N956"/>
  <c r="O956" s="1"/>
  <c r="N953"/>
  <c r="O953" s="1"/>
  <c r="N889"/>
  <c r="O889" s="1"/>
  <c r="N880"/>
  <c r="O880" s="1"/>
  <c r="N881"/>
  <c r="O881" s="1"/>
  <c r="N883"/>
  <c r="O883" s="1"/>
  <c r="N887"/>
  <c r="O887" s="1"/>
  <c r="N888"/>
  <c r="O888" s="1"/>
  <c r="N892"/>
  <c r="O892" s="1"/>
  <c r="N932"/>
  <c r="O932" s="1"/>
  <c r="N900"/>
  <c r="O900" s="1"/>
  <c r="N902"/>
  <c r="O902" s="1"/>
  <c r="N901"/>
  <c r="O901" s="1"/>
  <c r="N913"/>
  <c r="O913" s="1"/>
  <c r="N911"/>
  <c r="O911" s="1"/>
  <c r="N944"/>
  <c r="O944" s="1"/>
  <c r="N939"/>
  <c r="O939" s="1"/>
  <c r="N936"/>
  <c r="O936" s="1"/>
  <c r="N938"/>
  <c r="O938" s="1"/>
  <c r="N948"/>
  <c r="O948" s="1"/>
  <c r="N952"/>
  <c r="O952" s="1"/>
  <c r="N954"/>
  <c r="O954" s="1"/>
  <c r="N955"/>
  <c r="O955" s="1"/>
  <c r="N967"/>
  <c r="O967" s="1"/>
  <c r="N974"/>
  <c r="O974" s="1"/>
  <c r="N975"/>
  <c r="O975" s="1"/>
  <c r="N1013"/>
  <c r="O1013" s="1"/>
  <c r="N981"/>
  <c r="O981" s="1"/>
  <c r="N983"/>
  <c r="O983" s="1"/>
  <c r="N984"/>
  <c r="O984" s="1"/>
  <c r="N985"/>
  <c r="O985" s="1"/>
  <c r="N1003"/>
  <c r="O1003" s="1"/>
  <c r="N987"/>
  <c r="O987" s="1"/>
  <c r="N1019"/>
  <c r="O1019" s="1"/>
  <c r="N1008"/>
  <c r="O1008" s="1"/>
  <c r="N1004"/>
  <c r="O1004" s="1"/>
  <c r="N1000"/>
  <c r="O1000" s="1"/>
  <c r="N1001"/>
  <c r="O1001" s="1"/>
  <c r="N1007"/>
  <c r="O1007" s="1"/>
  <c r="N1015"/>
  <c r="O1015" s="1"/>
  <c r="N1021"/>
  <c r="O1021" s="1"/>
  <c r="N1035"/>
  <c r="O1035" s="1"/>
  <c r="N1032"/>
  <c r="O1032" s="1"/>
  <c r="N1034"/>
  <c r="O1034" s="1"/>
  <c r="N1037"/>
  <c r="O1037" s="1"/>
  <c r="N1038"/>
  <c r="O1038" s="1"/>
  <c r="N1039"/>
  <c r="O1039" s="1"/>
  <c r="N1074"/>
  <c r="O1074" s="1"/>
  <c r="N1063"/>
  <c r="O1063" s="1"/>
  <c r="N1047"/>
  <c r="O1047" s="1"/>
  <c r="N1043"/>
  <c r="O1043" s="1"/>
  <c r="N1044"/>
  <c r="O1044" s="1"/>
  <c r="N1045"/>
  <c r="O1045" s="1"/>
  <c r="N1046"/>
  <c r="O1046" s="1"/>
  <c r="N1049"/>
  <c r="O1049" s="1"/>
  <c r="N1050"/>
  <c r="O1050" s="1"/>
  <c r="N1064"/>
  <c r="O1064" s="1"/>
  <c r="N1051"/>
  <c r="O1051" s="1"/>
  <c r="N1052"/>
  <c r="O1052" s="1"/>
  <c r="N1054"/>
  <c r="O1054" s="1"/>
  <c r="N1068"/>
  <c r="O1068" s="1"/>
  <c r="N1069"/>
  <c r="O1069" s="1"/>
  <c r="N1070"/>
  <c r="O1070" s="1"/>
  <c r="N1071"/>
  <c r="O1071" s="1"/>
  <c r="N1072"/>
  <c r="O1072" s="1"/>
  <c r="N1096"/>
  <c r="O1096" s="1"/>
  <c r="N1073"/>
  <c r="O1073" s="1"/>
  <c r="N1083"/>
  <c r="O1083" s="1"/>
  <c r="N1099"/>
  <c r="O1099" s="1"/>
  <c r="N1101"/>
  <c r="O1101" s="1"/>
  <c r="N1093"/>
  <c r="O1093" s="1"/>
  <c r="N1095"/>
  <c r="O1095" s="1"/>
  <c r="N1108"/>
  <c r="O1108" s="1"/>
  <c r="N1146"/>
  <c r="O1146" s="1"/>
  <c r="N1102"/>
  <c r="O1102" s="1"/>
  <c r="N1105"/>
  <c r="O1105" s="1"/>
  <c r="N1113"/>
  <c r="O1113" s="1"/>
  <c r="N1121"/>
  <c r="O1121" s="1"/>
  <c r="N1118"/>
  <c r="O1118" s="1"/>
  <c r="N1119"/>
  <c r="O1119" s="1"/>
  <c r="N1157"/>
  <c r="O1157" s="1"/>
  <c r="N1145"/>
  <c r="O1145" s="1"/>
  <c r="N1127"/>
  <c r="O1127" s="1"/>
  <c r="N1125"/>
  <c r="O1125" s="1"/>
  <c r="N1126"/>
  <c r="O1126" s="1"/>
  <c r="N1143"/>
  <c r="O1143" s="1"/>
  <c r="N1144"/>
  <c r="O1144" s="1"/>
  <c r="N1148"/>
  <c r="O1148" s="1"/>
  <c r="N1149"/>
  <c r="O1149" s="1"/>
  <c r="N1150"/>
  <c r="O1150" s="1"/>
  <c r="N1151"/>
  <c r="O1151" s="1"/>
  <c r="N1154"/>
  <c r="O1154" s="1"/>
  <c r="N1153"/>
  <c r="O1153" s="1"/>
  <c r="N1152"/>
  <c r="O1152" s="1"/>
  <c r="N1156"/>
  <c r="O1156" s="1"/>
  <c r="N1173"/>
  <c r="O1173" s="1"/>
  <c r="N1163"/>
  <c r="O1163" s="1"/>
  <c r="N1162"/>
  <c r="O1162" s="1"/>
  <c r="N1183"/>
  <c r="O1183" s="1"/>
  <c r="N1190"/>
  <c r="O1190" s="1"/>
  <c r="N1191"/>
  <c r="O1191" s="1"/>
  <c r="N1166"/>
  <c r="O1166" s="1"/>
  <c r="N1165"/>
  <c r="O1165" s="1"/>
  <c r="N1167"/>
  <c r="O1167" s="1"/>
  <c r="N1168"/>
  <c r="O1168" s="1"/>
  <c r="N1169"/>
  <c r="O1169" s="1"/>
  <c r="N1170"/>
  <c r="O1170" s="1"/>
  <c r="N1172"/>
  <c r="O1172" s="1"/>
  <c r="N1174"/>
  <c r="O1174" s="1"/>
  <c r="O1178"/>
  <c r="N1182"/>
  <c r="O1182" s="1"/>
  <c r="N1195"/>
  <c r="O1195" s="1"/>
  <c r="N1196"/>
  <c r="O1196" s="1"/>
  <c r="N1197"/>
  <c r="O1197" s="1"/>
  <c r="N1198"/>
  <c r="O1198" s="1"/>
  <c r="N1201"/>
  <c r="O1201" s="1"/>
  <c r="N1241"/>
  <c r="O1241" s="1"/>
  <c r="N1227"/>
  <c r="O1227" s="1"/>
  <c r="N1209"/>
  <c r="O1209" s="1"/>
  <c r="N1199"/>
  <c r="O1199" s="1"/>
  <c r="N1206"/>
  <c r="O1206" s="1"/>
  <c r="N1205"/>
  <c r="O1205" s="1"/>
  <c r="N1208"/>
  <c r="O1208" s="1"/>
  <c r="N1219"/>
  <c r="O1219" s="1"/>
  <c r="N1220"/>
  <c r="O1220" s="1"/>
  <c r="N1228"/>
  <c r="O1228" s="1"/>
  <c r="N1240"/>
  <c r="O1240" s="1"/>
  <c r="N1245"/>
  <c r="O1245" s="1"/>
  <c r="N1247"/>
  <c r="O1247" s="1"/>
  <c r="N1253"/>
  <c r="O1253" s="1"/>
  <c r="N1254"/>
  <c r="O1254" s="1"/>
  <c r="N1263"/>
  <c r="O1263" s="1"/>
  <c r="N1260"/>
  <c r="O1260" s="1"/>
  <c r="N1267"/>
  <c r="O1267" s="1"/>
  <c r="N1266"/>
  <c r="O1266" s="1"/>
  <c r="N1270"/>
  <c r="O1270" s="1"/>
  <c r="N1271"/>
  <c r="O1271" s="1"/>
  <c r="N1279"/>
  <c r="O1279" s="1"/>
  <c r="N1278"/>
  <c r="O1278" s="1"/>
  <c r="N1282"/>
  <c r="O1282" s="1"/>
  <c r="N1284"/>
  <c r="O1284" s="1"/>
  <c r="N1286"/>
  <c r="O1286" s="1"/>
  <c r="N1287"/>
  <c r="O1287" s="1"/>
  <c r="N1293"/>
  <c r="O1293" s="1"/>
  <c r="N1291"/>
  <c r="O1291" s="1"/>
  <c r="N1297"/>
  <c r="O1297" s="1"/>
  <c r="N1296"/>
  <c r="O1296" s="1"/>
  <c r="N1301"/>
  <c r="O1301" s="1"/>
  <c r="N1300"/>
  <c r="O1300" s="1"/>
  <c r="N1308"/>
  <c r="O1308" s="1"/>
  <c r="N1312"/>
  <c r="O1312" s="1"/>
  <c r="N1327"/>
  <c r="O1327" s="1"/>
  <c r="N1326"/>
  <c r="O1326" s="1"/>
  <c r="N1330"/>
  <c r="O1330" s="1"/>
  <c r="N1333"/>
  <c r="O1333" s="1"/>
  <c r="N1338"/>
  <c r="O1338" s="1"/>
  <c r="N1346"/>
  <c r="O1346" s="1"/>
  <c r="N1342"/>
  <c r="O1342" s="1"/>
  <c r="N1343"/>
  <c r="O1343" s="1"/>
  <c r="N1347"/>
  <c r="O1347" s="1"/>
  <c r="N1350"/>
  <c r="O1350" s="1"/>
  <c r="N1349"/>
  <c r="O1349" s="1"/>
  <c r="N1353"/>
  <c r="O1353" s="1"/>
  <c r="N1356"/>
  <c r="O1356" s="1"/>
  <c r="N1360"/>
  <c r="O1360" s="1"/>
  <c r="N1363"/>
  <c r="O1363" s="1"/>
  <c r="N1367"/>
  <c r="O1367" s="1"/>
  <c r="N1374"/>
  <c r="O1374" s="1"/>
  <c r="N1379"/>
  <c r="O1379" s="1"/>
  <c r="N1389"/>
  <c r="O1389" s="1"/>
  <c r="N1398"/>
  <c r="O1398" s="1"/>
  <c r="N1395"/>
  <c r="O1395" s="1"/>
  <c r="N1392"/>
  <c r="O1392" s="1"/>
  <c r="N1402"/>
  <c r="O1402" s="1"/>
  <c r="N1421"/>
  <c r="O1421" s="1"/>
  <c r="N1408"/>
  <c r="O1408" s="1"/>
  <c r="N1407"/>
  <c r="O1407" s="1"/>
  <c r="N1409"/>
  <c r="O1409" s="1"/>
  <c r="N1406"/>
  <c r="O1406" s="1"/>
  <c r="N1413"/>
  <c r="O1413" s="1"/>
  <c r="N1412"/>
  <c r="O1412" s="1"/>
  <c r="N1410"/>
  <c r="O1410" s="1"/>
  <c r="N1422"/>
  <c r="O1422" s="1"/>
  <c r="N1415"/>
  <c r="O1415" s="1"/>
  <c r="N1411"/>
  <c r="O1411" s="1"/>
  <c r="N1419"/>
  <c r="O1419" s="1"/>
  <c r="N1428"/>
  <c r="O1428" s="1"/>
  <c r="N1427"/>
  <c r="O1427" s="1"/>
  <c r="N1430"/>
  <c r="O1430" s="1"/>
  <c r="N1438"/>
  <c r="O1438" s="1"/>
  <c r="N1435"/>
  <c r="O1435" s="1"/>
  <c r="N1434"/>
  <c r="O1434" s="1"/>
  <c r="N1439"/>
  <c r="O1439" s="1"/>
  <c r="N1447"/>
  <c r="O1447" s="1"/>
  <c r="N1445"/>
  <c r="O1445" s="1"/>
  <c r="N1450"/>
  <c r="O1450" s="1"/>
  <c r="N1452"/>
  <c r="O1452" s="1"/>
  <c r="N1458"/>
  <c r="O1458" s="1"/>
  <c r="N1456"/>
  <c r="O1456" s="1"/>
  <c r="N1460"/>
  <c r="O1460" s="1"/>
  <c r="N1466"/>
  <c r="O1466" s="1"/>
  <c r="N1463"/>
  <c r="O1463" s="1"/>
  <c r="N1481"/>
  <c r="O1481" s="1"/>
  <c r="N1479"/>
  <c r="O1479" s="1"/>
  <c r="N1490"/>
  <c r="O1490" s="1"/>
  <c r="N1496"/>
  <c r="O1496" s="1"/>
  <c r="N1497"/>
  <c r="O1497" s="1"/>
  <c r="N1503"/>
  <c r="O1503" s="1"/>
  <c r="N1502"/>
  <c r="O1502" s="1"/>
  <c r="N1505"/>
  <c r="O1505" s="1"/>
  <c r="N1504"/>
  <c r="O1504" s="1"/>
  <c r="N1506"/>
  <c r="O1506" s="1"/>
  <c r="N1508"/>
  <c r="O1508" s="1"/>
  <c r="N1507"/>
  <c r="O1507" s="1"/>
  <c r="N1509"/>
  <c r="O1509" s="1"/>
  <c r="N1511"/>
  <c r="O1511" s="1"/>
  <c r="N1514"/>
  <c r="O1514" s="1"/>
  <c r="N1515"/>
  <c r="O1515" s="1"/>
  <c r="N1516"/>
  <c r="O1516" s="1"/>
  <c r="N1518"/>
  <c r="O1518" s="1"/>
  <c r="N1517"/>
  <c r="O1517" s="1"/>
  <c r="N1519"/>
  <c r="O1519" s="1"/>
  <c r="N1521"/>
  <c r="O1521" s="1"/>
  <c r="N1524"/>
  <c r="O1524" s="1"/>
  <c r="N1525"/>
  <c r="O1525" s="1"/>
  <c r="N1532"/>
  <c r="O1532" s="1"/>
  <c r="N1534"/>
  <c r="O1534" s="1"/>
  <c r="N1540"/>
  <c r="O1540" s="1"/>
  <c r="N1537"/>
  <c r="O1537" s="1"/>
  <c r="N1541"/>
  <c r="O1541" s="1"/>
  <c r="N1542"/>
  <c r="O1542" s="1"/>
  <c r="N1545"/>
  <c r="O1545" s="1"/>
  <c r="N1546"/>
  <c r="O1546" s="1"/>
  <c r="N1556"/>
  <c r="O1556" s="1"/>
  <c r="N1555"/>
  <c r="O1555" s="1"/>
  <c r="N1559"/>
  <c r="O1559" s="1"/>
  <c r="N1574"/>
  <c r="O1574" s="1"/>
  <c r="N1579"/>
  <c r="O1579" s="1"/>
  <c r="N1578"/>
  <c r="O1578" s="1"/>
  <c r="N1582"/>
  <c r="O1582" s="1"/>
  <c r="N1581"/>
  <c r="O1581" s="1"/>
  <c r="N1580"/>
  <c r="O1580" s="1"/>
  <c r="L1583" l="1"/>
  <c r="K1583"/>
  <c r="N1584"/>
  <c r="O1584" s="1"/>
  <c r="N1585"/>
  <c r="O1585" s="1"/>
  <c r="L1586"/>
  <c r="K1586"/>
  <c r="K1587"/>
  <c r="N1587" s="1"/>
  <c r="O1587" s="1"/>
  <c r="K1588"/>
  <c r="N1588" s="1"/>
  <c r="O1588" s="1"/>
  <c r="N1589"/>
  <c r="O1589" s="1"/>
  <c r="L1590"/>
  <c r="K1590"/>
  <c r="N1591"/>
  <c r="O1591" s="1"/>
  <c r="N1592"/>
  <c r="O1592" s="1"/>
  <c r="L1593"/>
  <c r="K1594"/>
  <c r="N1594" s="1"/>
  <c r="O1594" s="1"/>
  <c r="K1593"/>
  <c r="K1595"/>
  <c r="N1595" s="1"/>
  <c r="O1595" s="1"/>
  <c r="K1596"/>
  <c r="N1596" s="1"/>
  <c r="O1596" s="1"/>
  <c r="K1597"/>
  <c r="N1597" s="1"/>
  <c r="O1597" s="1"/>
  <c r="K1598"/>
  <c r="N1598" s="1"/>
  <c r="O1598" s="1"/>
  <c r="K1599"/>
  <c r="N1599" s="1"/>
  <c r="O1599" s="1"/>
  <c r="K1600"/>
  <c r="N1600" s="1"/>
  <c r="O1600" s="1"/>
  <c r="K1601"/>
  <c r="N1601" s="1"/>
  <c r="O1601" s="1"/>
  <c r="K1602"/>
  <c r="N1602" s="1"/>
  <c r="O1602" s="1"/>
  <c r="K1603"/>
  <c r="N1603" s="1"/>
  <c r="O1603" s="1"/>
  <c r="K1647"/>
  <c r="N1647" s="1"/>
  <c r="O1647" s="1"/>
  <c r="K1648"/>
  <c r="K1604"/>
  <c r="N1604" s="1"/>
  <c r="O1604" s="1"/>
  <c r="K1605"/>
  <c r="N1605" s="1"/>
  <c r="O1605" s="1"/>
  <c r="K1607"/>
  <c r="N1607" s="1"/>
  <c r="O1607" s="1"/>
  <c r="N1606"/>
  <c r="O1606" s="1"/>
  <c r="K1608"/>
  <c r="N1608" s="1"/>
  <c r="O1608" s="1"/>
  <c r="K1609"/>
  <c r="N1609" s="1"/>
  <c r="O1609" s="1"/>
  <c r="K1610"/>
  <c r="N1610" s="1"/>
  <c r="O1610" s="1"/>
  <c r="K1611"/>
  <c r="N1611" s="1"/>
  <c r="O1611" s="1"/>
  <c r="K1612"/>
  <c r="N1612" s="1"/>
  <c r="O1612" s="1"/>
  <c r="K1613"/>
  <c r="N1613" s="1"/>
  <c r="O1613" s="1"/>
  <c r="L1616"/>
  <c r="K1616"/>
  <c r="K1617"/>
  <c r="N1617" s="1"/>
  <c r="O1617" s="1"/>
  <c r="K1614"/>
  <c r="K1615"/>
  <c r="K1618"/>
  <c r="K1619"/>
  <c r="L1620"/>
  <c r="K1620"/>
  <c r="L1621"/>
  <c r="K1621"/>
  <c r="K1623"/>
  <c r="N1623" s="1"/>
  <c r="O1623" s="1"/>
  <c r="K1622"/>
  <c r="N1622" s="1"/>
  <c r="O1622" s="1"/>
  <c r="K1624"/>
  <c r="N1624" s="1"/>
  <c r="O1624" s="1"/>
  <c r="K1625"/>
  <c r="N1625" s="1"/>
  <c r="O1625" s="1"/>
  <c r="K1626"/>
  <c r="N1626" s="1"/>
  <c r="O1626" s="1"/>
  <c r="K1627"/>
  <c r="N1627" s="1"/>
  <c r="O1627" s="1"/>
  <c r="K1628"/>
  <c r="N1628" s="1"/>
  <c r="O1628" s="1"/>
  <c r="K1629"/>
  <c r="N1629" s="1"/>
  <c r="O1629" s="1"/>
  <c r="K1630"/>
  <c r="N1630" s="1"/>
  <c r="O1630" s="1"/>
  <c r="K1631"/>
  <c r="N1631" s="1"/>
  <c r="O1631" s="1"/>
  <c r="K1632"/>
  <c r="N1632" s="1"/>
  <c r="O1632" s="1"/>
  <c r="L1633"/>
  <c r="K1633"/>
  <c r="L1634"/>
  <c r="K1634"/>
  <c r="L1635"/>
  <c r="K1635"/>
  <c r="K1636"/>
  <c r="K1637"/>
  <c r="N1637" s="1"/>
  <c r="O1637" s="1"/>
  <c r="K1638"/>
  <c r="K1639"/>
  <c r="L1640"/>
  <c r="K1640"/>
  <c r="K1641"/>
  <c r="N1641" s="1"/>
  <c r="O1641" s="1"/>
  <c r="L1644"/>
  <c r="K1642"/>
  <c r="K1643"/>
  <c r="L1645"/>
  <c r="K1645"/>
  <c r="K1644"/>
  <c r="L1646"/>
  <c r="K1646"/>
  <c r="L1649"/>
  <c r="K1649"/>
  <c r="K1650"/>
  <c r="N1650" s="1"/>
  <c r="O1650" s="1"/>
  <c r="K1651"/>
  <c r="N1651" s="1"/>
  <c r="O1651" s="1"/>
  <c r="K1652"/>
  <c r="N1652" s="1"/>
  <c r="O1652" s="1"/>
  <c r="K1653"/>
  <c r="N1653" s="1"/>
  <c r="O1653" s="1"/>
  <c r="K1654"/>
  <c r="N1654" s="1"/>
  <c r="O1654" s="1"/>
  <c r="K1655"/>
  <c r="N1655" s="1"/>
  <c r="O1655" s="1"/>
  <c r="L1656"/>
  <c r="K1656"/>
  <c r="L1658"/>
  <c r="L1657"/>
  <c r="K1657"/>
  <c r="K1658"/>
  <c r="K1659"/>
  <c r="N1659" s="1"/>
  <c r="O1659" s="1"/>
  <c r="N1660"/>
  <c r="O1660" s="1"/>
  <c r="K1661"/>
  <c r="K1662"/>
  <c r="K1663"/>
  <c r="L1664"/>
  <c r="K1664"/>
  <c r="L1730"/>
  <c r="L1722"/>
  <c r="L1725"/>
  <c r="L1712"/>
  <c r="L1713"/>
  <c r="L1714"/>
  <c r="L1708"/>
  <c r="L1709"/>
  <c r="L1710"/>
  <c r="L1704"/>
  <c r="L1703"/>
  <c r="L1702"/>
  <c r="L1701"/>
  <c r="L1695"/>
  <c r="L1698"/>
  <c r="L1693"/>
  <c r="L1692"/>
  <c r="L1682"/>
  <c r="L1684"/>
  <c r="L1687"/>
  <c r="L1678"/>
  <c r="L1665"/>
  <c r="L1879"/>
  <c r="K1665"/>
  <c r="K1666"/>
  <c r="N1666" s="1"/>
  <c r="O1666" s="1"/>
  <c r="K1667"/>
  <c r="N1667" s="1"/>
  <c r="O1667" s="1"/>
  <c r="K1668"/>
  <c r="N1668" s="1"/>
  <c r="O1668" s="1"/>
  <c r="K1669"/>
  <c r="N1669" s="1"/>
  <c r="O1669" s="1"/>
  <c r="K1670"/>
  <c r="N1670" s="1"/>
  <c r="O1670" s="1"/>
  <c r="K1671"/>
  <c r="N1671" s="1"/>
  <c r="O1671" s="1"/>
  <c r="K1672"/>
  <c r="N1672" s="1"/>
  <c r="O1672" s="1"/>
  <c r="K1673"/>
  <c r="N1673" s="1"/>
  <c r="O1673" s="1"/>
  <c r="K1674"/>
  <c r="N1674" s="1"/>
  <c r="O1674" s="1"/>
  <c r="K1675"/>
  <c r="N1675" s="1"/>
  <c r="O1675" s="1"/>
  <c r="K1676"/>
  <c r="N1676" s="1"/>
  <c r="O1676" s="1"/>
  <c r="K1677"/>
  <c r="N1677" s="1"/>
  <c r="O1677" s="1"/>
  <c r="K1678"/>
  <c r="N1678" s="1"/>
  <c r="O1678" s="1"/>
  <c r="K1679"/>
  <c r="N1679" s="1"/>
  <c r="O1679" s="1"/>
  <c r="K1680"/>
  <c r="N1680" s="1"/>
  <c r="O1680" s="1"/>
  <c r="K1681"/>
  <c r="N1681" s="1"/>
  <c r="O1681" s="1"/>
  <c r="K1682"/>
  <c r="K1683"/>
  <c r="N1683" s="1"/>
  <c r="O1683" s="1"/>
  <c r="K1684"/>
  <c r="N1684" s="1"/>
  <c r="O1684" s="1"/>
  <c r="K1685"/>
  <c r="N1685" s="1"/>
  <c r="O1685" s="1"/>
  <c r="K1686"/>
  <c r="N1686" s="1"/>
  <c r="O1686" s="1"/>
  <c r="K1687"/>
  <c r="K1688"/>
  <c r="N1688" s="1"/>
  <c r="O1688" s="1"/>
  <c r="K1689"/>
  <c r="N1689" s="1"/>
  <c r="O1689" s="1"/>
  <c r="K1690"/>
  <c r="N1690" s="1"/>
  <c r="O1690" s="1"/>
  <c r="K1692"/>
  <c r="K1691"/>
  <c r="N1691" s="1"/>
  <c r="O1691" s="1"/>
  <c r="K1693"/>
  <c r="N1693" s="1"/>
  <c r="O1693" s="1"/>
  <c r="K1694"/>
  <c r="K1695"/>
  <c r="N1695" s="1"/>
  <c r="O1695" s="1"/>
  <c r="K1696"/>
  <c r="N1696" s="1"/>
  <c r="O1696" s="1"/>
  <c r="K1697"/>
  <c r="K1698"/>
  <c r="L1699"/>
  <c r="K1699"/>
  <c r="K1700"/>
  <c r="K1701"/>
  <c r="K1702"/>
  <c r="K1703"/>
  <c r="L1705"/>
  <c r="K1706"/>
  <c r="K1704"/>
  <c r="K1705"/>
  <c r="K1707"/>
  <c r="K1708"/>
  <c r="K1709"/>
  <c r="K1713"/>
  <c r="K1714"/>
  <c r="K1715"/>
  <c r="N1715" s="1"/>
  <c r="O1715" s="1"/>
  <c r="K1716"/>
  <c r="N1716" s="1"/>
  <c r="O1716" s="1"/>
  <c r="K1712"/>
  <c r="K1710"/>
  <c r="K1711"/>
  <c r="N1711" s="1"/>
  <c r="O1711" s="1"/>
  <c r="K1717"/>
  <c r="N1717" s="1"/>
  <c r="O1717" s="1"/>
  <c r="K1718"/>
  <c r="N1718" s="1"/>
  <c r="O1718" s="1"/>
  <c r="K1719"/>
  <c r="N1719" s="1"/>
  <c r="O1719" s="1"/>
  <c r="K1720"/>
  <c r="N1720" s="1"/>
  <c r="O1720" s="1"/>
  <c r="K1721"/>
  <c r="N1721" s="1"/>
  <c r="O1721" s="1"/>
  <c r="K1722"/>
  <c r="K1723"/>
  <c r="K1724"/>
  <c r="N1724" s="1"/>
  <c r="O1724" s="1"/>
  <c r="K1725"/>
  <c r="K1726"/>
  <c r="K1727"/>
  <c r="N1727" s="1"/>
  <c r="O1727" s="1"/>
  <c r="K1728"/>
  <c r="K1729"/>
  <c r="N1593" l="1"/>
  <c r="O1593" s="1"/>
  <c r="N1586"/>
  <c r="O1586" s="1"/>
  <c r="N1583"/>
  <c r="O1583" s="1"/>
  <c r="N1590"/>
  <c r="O1590" s="1"/>
  <c r="N1616"/>
  <c r="O1616" s="1"/>
  <c r="N1658"/>
  <c r="O1658" s="1"/>
  <c r="N1614"/>
  <c r="O1614" s="1"/>
  <c r="N1615"/>
  <c r="O1615" s="1"/>
  <c r="N1618"/>
  <c r="O1618" s="1"/>
  <c r="N1619"/>
  <c r="O1619" s="1"/>
  <c r="N1620"/>
  <c r="O1620" s="1"/>
  <c r="N1665"/>
  <c r="O1665" s="1"/>
  <c r="N1687"/>
  <c r="O1687" s="1"/>
  <c r="N1621"/>
  <c r="O1621" s="1"/>
  <c r="N1656"/>
  <c r="O1656" s="1"/>
  <c r="N1640"/>
  <c r="O1640" s="1"/>
  <c r="N1633"/>
  <c r="O1633" s="1"/>
  <c r="N1635"/>
  <c r="O1635" s="1"/>
  <c r="N1636"/>
  <c r="O1636" s="1"/>
  <c r="N1634"/>
  <c r="O1634" s="1"/>
  <c r="N1638"/>
  <c r="O1638" s="1"/>
  <c r="N1639"/>
  <c r="O1639" s="1"/>
  <c r="N1649"/>
  <c r="O1649" s="1"/>
  <c r="N1643"/>
  <c r="O1643" s="1"/>
  <c r="N1642"/>
  <c r="O1642" s="1"/>
  <c r="N1644"/>
  <c r="O1644" s="1"/>
  <c r="N1645"/>
  <c r="O1645" s="1"/>
  <c r="N1646"/>
  <c r="O1646" s="1"/>
  <c r="N1648"/>
  <c r="O1648" s="1"/>
  <c r="N1657"/>
  <c r="O1657" s="1"/>
  <c r="N1705"/>
  <c r="O1705" s="1"/>
  <c r="N1664"/>
  <c r="O1664" s="1"/>
  <c r="N1661"/>
  <c r="O1661" s="1"/>
  <c r="N1662"/>
  <c r="O1662" s="1"/>
  <c r="N1663"/>
  <c r="O1663" s="1"/>
  <c r="N1692"/>
  <c r="O1692" s="1"/>
  <c r="N1682"/>
  <c r="O1682" s="1"/>
  <c r="N1703"/>
  <c r="O1703" s="1"/>
  <c r="N1701"/>
  <c r="O1701" s="1"/>
  <c r="N1694"/>
  <c r="O1694" s="1"/>
  <c r="N1697"/>
  <c r="O1697" s="1"/>
  <c r="N1698"/>
  <c r="O1698" s="1"/>
  <c r="N1699"/>
  <c r="O1699" s="1"/>
  <c r="N1700"/>
  <c r="O1700" s="1"/>
  <c r="N1702"/>
  <c r="O1702" s="1"/>
  <c r="N1714"/>
  <c r="O1714" s="1"/>
  <c r="N1722"/>
  <c r="O1722" s="1"/>
  <c r="N1713"/>
  <c r="O1713" s="1"/>
  <c r="N1710"/>
  <c r="O1710" s="1"/>
  <c r="N1704"/>
  <c r="O1704" s="1"/>
  <c r="N1706"/>
  <c r="O1706" s="1"/>
  <c r="N1707"/>
  <c r="O1707" s="1"/>
  <c r="N1708"/>
  <c r="O1708" s="1"/>
  <c r="N1709"/>
  <c r="O1709" s="1"/>
  <c r="N1712"/>
  <c r="O1712" s="1"/>
  <c r="N1723"/>
  <c r="O1723" s="1"/>
  <c r="N1725"/>
  <c r="O1725" s="1"/>
  <c r="N1726"/>
  <c r="O1726" s="1"/>
  <c r="N1728"/>
  <c r="O1728" s="1"/>
  <c r="N1729"/>
  <c r="O1729" s="1"/>
  <c r="L1736"/>
  <c r="K1730"/>
  <c r="K1731"/>
  <c r="K1733"/>
  <c r="K1732"/>
  <c r="K1734"/>
  <c r="L1735"/>
  <c r="K1735"/>
  <c r="K1736"/>
  <c r="K1738"/>
  <c r="N1738" s="1"/>
  <c r="O1738" s="1"/>
  <c r="K1737"/>
  <c r="K1739"/>
  <c r="N1739" s="1"/>
  <c r="O1739" s="1"/>
  <c r="K1743"/>
  <c r="N1743" s="1"/>
  <c r="O1743" s="1"/>
  <c r="L1740"/>
  <c r="K1740"/>
  <c r="K1741"/>
  <c r="K1742"/>
  <c r="N1742" s="1"/>
  <c r="O1742" s="1"/>
  <c r="L1744"/>
  <c r="K1744"/>
  <c r="L1745"/>
  <c r="K1745"/>
  <c r="K1746"/>
  <c r="L1747"/>
  <c r="K1747"/>
  <c r="L1748"/>
  <c r="K1748"/>
  <c r="K1749"/>
  <c r="L1750"/>
  <c r="K1750"/>
  <c r="L1751"/>
  <c r="K1751"/>
  <c r="L1752"/>
  <c r="K1752"/>
  <c r="L1753"/>
  <c r="K1753"/>
  <c r="K1754"/>
  <c r="N1754" s="1"/>
  <c r="O1754" s="1"/>
  <c r="L1755"/>
  <c r="K1755"/>
  <c r="K1756"/>
  <c r="K1757"/>
  <c r="L1758"/>
  <c r="K1760"/>
  <c r="N1760" s="1"/>
  <c r="O1760" s="1"/>
  <c r="L1759"/>
  <c r="K1759"/>
  <c r="L1761"/>
  <c r="K1761"/>
  <c r="L1765"/>
  <c r="K1762"/>
  <c r="N1762" s="1"/>
  <c r="O1762" s="1"/>
  <c r="K1763"/>
  <c r="N1763" s="1"/>
  <c r="O1763" s="1"/>
  <c r="N1764"/>
  <c r="O1764" s="1"/>
  <c r="K1765"/>
  <c r="N1765" s="1"/>
  <c r="O1765" s="1"/>
  <c r="K1766"/>
  <c r="N1766" s="1"/>
  <c r="O1766" s="1"/>
  <c r="K1767"/>
  <c r="N1767" s="1"/>
  <c r="O1767" s="1"/>
  <c r="K1768"/>
  <c r="N1768" s="1"/>
  <c r="O1768" s="1"/>
  <c r="K1770"/>
  <c r="N1770" s="1"/>
  <c r="O1770" s="1"/>
  <c r="K1769"/>
  <c r="N1769" s="1"/>
  <c r="O1769" s="1"/>
  <c r="N1771"/>
  <c r="O1771" s="1"/>
  <c r="L1772"/>
  <c r="K1772"/>
  <c r="K1773"/>
  <c r="N1773" s="1"/>
  <c r="O1773" s="1"/>
  <c r="L1774"/>
  <c r="L1775"/>
  <c r="K1774"/>
  <c r="K1775"/>
  <c r="L1777"/>
  <c r="K1776"/>
  <c r="K1777"/>
  <c r="K1778"/>
  <c r="N1778" s="1"/>
  <c r="O1778" s="1"/>
  <c r="L1779"/>
  <c r="K1779"/>
  <c r="K1780"/>
  <c r="N1780" s="1"/>
  <c r="O1780" s="1"/>
  <c r="K1781"/>
  <c r="L1782"/>
  <c r="K1782"/>
  <c r="L1783"/>
  <c r="K1783"/>
  <c r="K1784"/>
  <c r="K1785"/>
  <c r="L1786"/>
  <c r="K1786"/>
  <c r="K1790"/>
  <c r="L1787"/>
  <c r="K1787"/>
  <c r="K1788"/>
  <c r="L1789"/>
  <c r="K1789"/>
  <c r="K1791"/>
  <c r="K1792"/>
  <c r="N1792" s="1"/>
  <c r="O1792" s="1"/>
  <c r="L1793"/>
  <c r="K1793"/>
  <c r="K1794"/>
  <c r="N1794" s="1"/>
  <c r="O1794" s="1"/>
  <c r="K1795"/>
  <c r="N1795" s="1"/>
  <c r="O1795" s="1"/>
  <c r="K1796"/>
  <c r="L1797"/>
  <c r="L1798"/>
  <c r="K1797"/>
  <c r="K1798"/>
  <c r="K1799"/>
  <c r="N1799" s="1"/>
  <c r="O1799" s="1"/>
  <c r="K1800"/>
  <c r="N1800" s="1"/>
  <c r="O1800" s="1"/>
  <c r="K1801"/>
  <c r="K1802"/>
  <c r="N1802" s="1"/>
  <c r="O1802" s="1"/>
  <c r="K1803"/>
  <c r="N1803" s="1"/>
  <c r="O1803" s="1"/>
  <c r="L1804"/>
  <c r="K1804"/>
  <c r="L1805"/>
  <c r="K1805"/>
  <c r="L1806"/>
  <c r="K1806"/>
  <c r="L1807"/>
  <c r="K1807"/>
  <c r="K1808"/>
  <c r="K1809"/>
  <c r="K1810"/>
  <c r="L1811"/>
  <c r="K1811"/>
  <c r="K1812"/>
  <c r="K1813"/>
  <c r="K1814"/>
  <c r="L1815"/>
  <c r="K1815"/>
  <c r="L1816"/>
  <c r="K1816"/>
  <c r="L1817"/>
  <c r="K1817"/>
  <c r="K1818"/>
  <c r="N1818" s="1"/>
  <c r="O1818" s="1"/>
  <c r="K1819"/>
  <c r="L1820"/>
  <c r="K1820"/>
  <c r="L1821"/>
  <c r="K1821"/>
  <c r="L1822"/>
  <c r="L1823"/>
  <c r="L1825"/>
  <c r="K1822"/>
  <c r="K1823"/>
  <c r="K1824"/>
  <c r="K1825"/>
  <c r="K1826"/>
  <c r="N1826" s="1"/>
  <c r="O1826" s="1"/>
  <c r="K1828"/>
  <c r="N1828" s="1"/>
  <c r="O1828" s="1"/>
  <c r="K1827"/>
  <c r="N1827" s="1"/>
  <c r="O1827" s="1"/>
  <c r="K1829"/>
  <c r="L1832"/>
  <c r="L1836"/>
  <c r="L1838"/>
  <c r="K1833"/>
  <c r="N1833" s="1"/>
  <c r="O1833" s="1"/>
  <c r="K1835"/>
  <c r="N1835" s="1"/>
  <c r="O1835" s="1"/>
  <c r="K1834"/>
  <c r="N1834" s="1"/>
  <c r="O1834" s="1"/>
  <c r="K1830"/>
  <c r="K1831"/>
  <c r="N1831" s="1"/>
  <c r="O1831" s="1"/>
  <c r="K1832"/>
  <c r="N1832" s="1"/>
  <c r="O1832" s="1"/>
  <c r="K1837"/>
  <c r="N1837" s="1"/>
  <c r="O1837" s="1"/>
  <c r="K1838"/>
  <c r="K1836"/>
  <c r="K1839"/>
  <c r="N1839" s="1"/>
  <c r="O1839" s="1"/>
  <c r="N1798" l="1"/>
  <c r="O1798" s="1"/>
  <c r="N1836"/>
  <c r="O1836" s="1"/>
  <c r="N1774"/>
  <c r="O1774" s="1"/>
  <c r="N1775"/>
  <c r="O1775" s="1"/>
  <c r="N1825"/>
  <c r="O1825" s="1"/>
  <c r="N1759"/>
  <c r="O1759" s="1"/>
  <c r="N1745"/>
  <c r="O1745" s="1"/>
  <c r="N1744"/>
  <c r="O1744" s="1"/>
  <c r="N1736"/>
  <c r="O1736" s="1"/>
  <c r="N1732"/>
  <c r="O1732" s="1"/>
  <c r="N1755"/>
  <c r="O1755" s="1"/>
  <c r="N1748"/>
  <c r="O1748" s="1"/>
  <c r="N1735"/>
  <c r="O1735" s="1"/>
  <c r="N1730"/>
  <c r="O1730" s="1"/>
  <c r="N1731"/>
  <c r="O1731" s="1"/>
  <c r="N1733"/>
  <c r="O1733" s="1"/>
  <c r="N1734"/>
  <c r="O1734" s="1"/>
  <c r="N1737"/>
  <c r="O1737" s="1"/>
  <c r="N1752"/>
  <c r="O1752" s="1"/>
  <c r="N1747"/>
  <c r="O1747" s="1"/>
  <c r="N1740"/>
  <c r="O1740" s="1"/>
  <c r="N1741"/>
  <c r="O1741" s="1"/>
  <c r="N1746"/>
  <c r="O1746" s="1"/>
  <c r="N1749"/>
  <c r="O1749" s="1"/>
  <c r="N1750"/>
  <c r="O1750" s="1"/>
  <c r="N1751"/>
  <c r="O1751" s="1"/>
  <c r="N1753"/>
  <c r="O1753" s="1"/>
  <c r="N1756"/>
  <c r="O1756" s="1"/>
  <c r="N1757"/>
  <c r="O1757" s="1"/>
  <c r="N1758"/>
  <c r="O1758" s="1"/>
  <c r="N1782"/>
  <c r="O1782" s="1"/>
  <c r="N1779"/>
  <c r="O1779" s="1"/>
  <c r="N1761"/>
  <c r="O1761" s="1"/>
  <c r="N1772"/>
  <c r="O1772" s="1"/>
  <c r="N1777"/>
  <c r="O1777" s="1"/>
  <c r="N1776"/>
  <c r="O1776" s="1"/>
  <c r="N1781"/>
  <c r="O1781" s="1"/>
  <c r="N1784"/>
  <c r="O1784" s="1"/>
  <c r="N1822"/>
  <c r="O1822" s="1"/>
  <c r="N1821"/>
  <c r="O1821" s="1"/>
  <c r="N1820"/>
  <c r="O1820" s="1"/>
  <c r="N1817"/>
  <c r="O1817" s="1"/>
  <c r="N1816"/>
  <c r="O1816" s="1"/>
  <c r="N1815"/>
  <c r="O1815" s="1"/>
  <c r="N1807"/>
  <c r="O1807" s="1"/>
  <c r="N1806"/>
  <c r="O1806" s="1"/>
  <c r="N1805"/>
  <c r="O1805" s="1"/>
  <c r="N1793"/>
  <c r="O1793" s="1"/>
  <c r="N1783"/>
  <c r="O1783" s="1"/>
  <c r="N1785"/>
  <c r="O1785" s="1"/>
  <c r="N1786"/>
  <c r="O1786" s="1"/>
  <c r="N1788"/>
  <c r="O1788" s="1"/>
  <c r="N1787"/>
  <c r="O1787" s="1"/>
  <c r="N1789"/>
  <c r="O1789" s="1"/>
  <c r="N1790"/>
  <c r="O1790" s="1"/>
  <c r="N1791"/>
  <c r="O1791" s="1"/>
  <c r="N1796"/>
  <c r="O1796" s="1"/>
  <c r="N1797"/>
  <c r="O1797" s="1"/>
  <c r="N1801"/>
  <c r="O1801" s="1"/>
  <c r="N1804"/>
  <c r="O1804" s="1"/>
  <c r="N1808"/>
  <c r="O1808" s="1"/>
  <c r="N1810"/>
  <c r="O1810" s="1"/>
  <c r="N1809"/>
  <c r="O1809" s="1"/>
  <c r="N1811"/>
  <c r="O1811" s="1"/>
  <c r="N1812"/>
  <c r="O1812" s="1"/>
  <c r="N1813"/>
  <c r="O1813" s="1"/>
  <c r="N1814"/>
  <c r="O1814" s="1"/>
  <c r="N1819"/>
  <c r="O1819" s="1"/>
  <c r="N1823"/>
  <c r="O1823" s="1"/>
  <c r="N1824"/>
  <c r="O1824" s="1"/>
  <c r="N1829"/>
  <c r="O1829" s="1"/>
  <c r="N1830"/>
  <c r="O1830" s="1"/>
  <c r="N1838"/>
  <c r="O1838" s="1"/>
  <c r="K1840"/>
  <c r="N1840" s="1"/>
  <c r="O1840" s="1"/>
  <c r="K1841"/>
  <c r="N1841" s="1"/>
  <c r="O1841" s="1"/>
  <c r="L1842"/>
  <c r="N1842" s="1"/>
  <c r="O1842" s="1"/>
  <c r="K1843"/>
  <c r="N1843" s="1"/>
  <c r="O1843" s="1"/>
  <c r="K1844"/>
  <c r="N1844" s="1"/>
  <c r="O1844" s="1"/>
  <c r="L1848"/>
  <c r="L1845"/>
  <c r="K1845"/>
  <c r="L1846"/>
  <c r="K1846"/>
  <c r="K1847"/>
  <c r="N1847" s="1"/>
  <c r="O1847" s="1"/>
  <c r="K1848"/>
  <c r="L1849"/>
  <c r="K1849"/>
  <c r="K1850"/>
  <c r="N1850" s="1"/>
  <c r="O1850" s="1"/>
  <c r="K1851"/>
  <c r="N1851" s="1"/>
  <c r="O1851" s="1"/>
  <c r="N1853"/>
  <c r="O1853" s="1"/>
  <c r="N1852"/>
  <c r="O1852" s="1"/>
  <c r="K1854"/>
  <c r="N1854" s="1"/>
  <c r="O1854" s="1"/>
  <c r="K1855"/>
  <c r="N1855" s="1"/>
  <c r="O1855" s="1"/>
  <c r="K1856"/>
  <c r="N1856" s="1"/>
  <c r="O1856" s="1"/>
  <c r="K1859"/>
  <c r="N1859" s="1"/>
  <c r="O1859" s="1"/>
  <c r="L1857"/>
  <c r="K1857"/>
  <c r="L1858"/>
  <c r="K1858"/>
  <c r="K1860"/>
  <c r="K1862"/>
  <c r="L1863"/>
  <c r="K1863"/>
  <c r="K1864"/>
  <c r="K1865"/>
  <c r="K1866"/>
  <c r="K1867"/>
  <c r="L1868"/>
  <c r="K1868"/>
  <c r="K1869"/>
  <c r="N1869" s="1"/>
  <c r="O1869" s="1"/>
  <c r="K1870"/>
  <c r="L1871"/>
  <c r="K1871"/>
  <c r="K1872"/>
  <c r="N1872" s="1"/>
  <c r="O1872" s="1"/>
  <c r="L1873"/>
  <c r="K1873"/>
  <c r="K1874"/>
  <c r="N1874" s="1"/>
  <c r="O1874" s="1"/>
  <c r="L1875"/>
  <c r="K1875"/>
  <c r="K1876"/>
  <c r="K1877"/>
  <c r="L1878"/>
  <c r="K1878"/>
  <c r="K1879"/>
  <c r="K1880"/>
  <c r="N1880" s="1"/>
  <c r="O1880" s="1"/>
  <c r="K1881"/>
  <c r="N1881" s="1"/>
  <c r="O1881" s="1"/>
  <c r="K1882"/>
  <c r="N1882" s="1"/>
  <c r="O1882" s="1"/>
  <c r="K1883"/>
  <c r="N1883" s="1"/>
  <c r="O1883" s="1"/>
  <c r="L1884"/>
  <c r="K1884"/>
  <c r="K1885"/>
  <c r="K1886"/>
  <c r="L1887"/>
  <c r="K1887"/>
  <c r="L1889"/>
  <c r="N1889" s="1"/>
  <c r="O1889" s="1"/>
  <c r="K1888"/>
  <c r="N1888" s="1"/>
  <c r="O1888" s="1"/>
  <c r="L1890"/>
  <c r="K1890"/>
  <c r="K1891"/>
  <c r="K1892"/>
  <c r="N1892" s="1"/>
  <c r="O1892" s="1"/>
  <c r="K1893"/>
  <c r="K1894"/>
  <c r="L1895"/>
  <c r="K1895"/>
  <c r="L1896"/>
  <c r="K1896"/>
  <c r="K1897"/>
  <c r="N1897" s="1"/>
  <c r="O1897" s="1"/>
  <c r="K1898"/>
  <c r="N1898" s="1"/>
  <c r="O1898" s="1"/>
  <c r="K1899"/>
  <c r="N1899" s="1"/>
  <c r="O1899" s="1"/>
  <c r="K1900"/>
  <c r="N1900" s="1"/>
  <c r="O1900" s="1"/>
  <c r="K1901"/>
  <c r="N1901" s="1"/>
  <c r="O1901" s="1"/>
  <c r="L1902"/>
  <c r="L1904"/>
  <c r="K1902"/>
  <c r="K1903"/>
  <c r="N1903" s="1"/>
  <c r="O1903" s="1"/>
  <c r="K1904"/>
  <c r="K1905"/>
  <c r="N1905" s="1"/>
  <c r="O1905" s="1"/>
  <c r="K1906"/>
  <c r="N1906" s="1"/>
  <c r="O1906" s="1"/>
  <c r="K1907"/>
  <c r="N1907" s="1"/>
  <c r="O1907" s="1"/>
  <c r="K1908"/>
  <c r="N1908" s="1"/>
  <c r="O1908" s="1"/>
  <c r="K1909"/>
  <c r="N1909" s="1"/>
  <c r="O1909" s="1"/>
  <c r="K1910"/>
  <c r="K1911"/>
  <c r="K1912"/>
  <c r="L1913"/>
  <c r="K1913"/>
  <c r="K1914"/>
  <c r="N1914" s="1"/>
  <c r="O1914" s="1"/>
  <c r="L1915"/>
  <c r="K1915"/>
  <c r="K1916"/>
  <c r="N1916" s="1"/>
  <c r="O1916" s="1"/>
  <c r="L1917"/>
  <c r="K1917"/>
  <c r="K1918"/>
  <c r="L1919"/>
  <c r="K1919"/>
  <c r="L1920"/>
  <c r="K1920"/>
  <c r="K1921"/>
  <c r="L1922"/>
  <c r="K1922"/>
  <c r="K1923"/>
  <c r="N1923" s="1"/>
  <c r="O1923" s="1"/>
  <c r="K1924"/>
  <c r="N1924" s="1"/>
  <c r="O1924" s="1"/>
  <c r="K1925"/>
  <c r="N1925" s="1"/>
  <c r="O1925" s="1"/>
  <c r="L1926"/>
  <c r="N1926" s="1"/>
  <c r="O1926" s="1"/>
  <c r="L1927"/>
  <c r="N1927" s="1"/>
  <c r="O1927" s="1"/>
  <c r="K1928"/>
  <c r="N1928" s="1"/>
  <c r="O1928" s="1"/>
  <c r="L1929"/>
  <c r="K1929"/>
  <c r="K1930"/>
  <c r="N1930" s="1"/>
  <c r="O1930" s="1"/>
  <c r="L1931"/>
  <c r="K1931"/>
  <c r="L1932"/>
  <c r="K1932"/>
  <c r="L1933"/>
  <c r="K1933"/>
  <c r="K1934"/>
  <c r="L1935"/>
  <c r="K1935"/>
  <c r="L1936"/>
  <c r="K1936"/>
  <c r="L1937"/>
  <c r="K1937"/>
  <c r="L1938"/>
  <c r="K1938"/>
  <c r="L1939"/>
  <c r="K1939"/>
  <c r="K1940"/>
  <c r="N1940" s="1"/>
  <c r="O1940" s="1"/>
  <c r="K1941"/>
  <c r="N1941" s="1"/>
  <c r="O1941" s="1"/>
  <c r="K1942"/>
  <c r="N1942" s="1"/>
  <c r="O1942" s="1"/>
  <c r="L1943"/>
  <c r="K1943"/>
  <c r="L1944"/>
  <c r="K1944"/>
  <c r="L1945"/>
  <c r="K1945"/>
  <c r="K1946"/>
  <c r="N1946" s="1"/>
  <c r="O1946" s="1"/>
  <c r="L1947"/>
  <c r="K1947"/>
  <c r="K1948"/>
  <c r="K1949"/>
  <c r="N1949" s="1"/>
  <c r="O1949" s="1"/>
  <c r="L1950"/>
  <c r="K1950"/>
  <c r="K1951"/>
  <c r="N1951" s="1"/>
  <c r="O1951" s="1"/>
  <c r="K1952"/>
  <c r="K1953"/>
  <c r="N1953" s="1"/>
  <c r="O1953" s="1"/>
  <c r="L1954"/>
  <c r="L1955"/>
  <c r="K1955"/>
  <c r="K1956"/>
  <c r="K1957"/>
  <c r="K1958"/>
  <c r="K1959"/>
  <c r="L1960"/>
  <c r="K1961"/>
  <c r="K1963"/>
  <c r="K1962"/>
  <c r="L1964"/>
  <c r="K1965"/>
  <c r="L1966"/>
  <c r="K1966"/>
  <c r="K1967"/>
  <c r="K1968"/>
  <c r="K1969"/>
  <c r="K1970"/>
  <c r="K1971"/>
  <c r="L1972"/>
  <c r="K1972"/>
  <c r="L1973"/>
  <c r="K1973"/>
  <c r="K1974"/>
  <c r="N1974" s="1"/>
  <c r="O1974" s="1"/>
  <c r="L1975"/>
  <c r="K1975"/>
  <c r="K1976"/>
  <c r="K1977"/>
  <c r="L1978"/>
  <c r="K1978"/>
  <c r="K1979"/>
  <c r="K1980"/>
  <c r="L1981"/>
  <c r="K1981"/>
  <c r="L1982"/>
  <c r="K1982"/>
  <c r="K1983"/>
  <c r="L1984"/>
  <c r="K1984"/>
  <c r="L1985"/>
  <c r="L1986"/>
  <c r="L1989"/>
  <c r="K1986"/>
  <c r="K1985"/>
  <c r="K1987"/>
  <c r="K1988"/>
  <c r="K1989"/>
  <c r="K1990"/>
  <c r="K1991"/>
  <c r="L1992"/>
  <c r="K1992"/>
  <c r="L1993"/>
  <c r="K1993"/>
  <c r="L1994"/>
  <c r="K1994"/>
  <c r="L1995"/>
  <c r="K1995"/>
  <c r="L1996"/>
  <c r="K1996"/>
  <c r="L1997"/>
  <c r="K1997"/>
  <c r="L1998"/>
  <c r="K1998"/>
  <c r="L1999"/>
  <c r="K1999"/>
  <c r="K2000"/>
  <c r="K2001"/>
  <c r="K2003"/>
  <c r="N2003" s="1"/>
  <c r="O2003" s="1"/>
  <c r="L2002"/>
  <c r="K2002"/>
  <c r="L2004"/>
  <c r="K2004"/>
  <c r="K2005"/>
  <c r="N2005" s="1"/>
  <c r="O2005" s="1"/>
  <c r="L2007"/>
  <c r="K2007"/>
  <c r="K2008"/>
  <c r="K2009"/>
  <c r="K2010"/>
  <c r="L2011"/>
  <c r="K2012"/>
  <c r="K2011"/>
  <c r="K2013"/>
  <c r="N1878" l="1"/>
  <c r="O1878" s="1"/>
  <c r="N1879"/>
  <c r="O1879" s="1"/>
  <c r="N1902"/>
  <c r="O1902" s="1"/>
  <c r="N1849"/>
  <c r="O1849" s="1"/>
  <c r="N1846"/>
  <c r="O1846" s="1"/>
  <c r="N1858"/>
  <c r="O1858" s="1"/>
  <c r="N1857"/>
  <c r="O1857" s="1"/>
  <c r="N1845"/>
  <c r="O1845" s="1"/>
  <c r="N1871"/>
  <c r="O1871" s="1"/>
  <c r="N1868"/>
  <c r="O1868" s="1"/>
  <c r="N1848"/>
  <c r="O1848" s="1"/>
  <c r="N1860"/>
  <c r="O1860" s="1"/>
  <c r="N1861"/>
  <c r="O1861" s="1"/>
  <c r="N1862"/>
  <c r="O1862" s="1"/>
  <c r="N1873"/>
  <c r="O1873" s="1"/>
  <c r="N1863"/>
  <c r="O1863" s="1"/>
  <c r="N1864"/>
  <c r="O1864" s="1"/>
  <c r="N1865"/>
  <c r="O1865" s="1"/>
  <c r="N1866"/>
  <c r="O1866" s="1"/>
  <c r="N1867"/>
  <c r="O1867" s="1"/>
  <c r="N1870"/>
  <c r="O1870" s="1"/>
  <c r="N1904"/>
  <c r="O1904" s="1"/>
  <c r="N1876"/>
  <c r="O1876" s="1"/>
  <c r="N1875"/>
  <c r="O1875" s="1"/>
  <c r="N1877"/>
  <c r="O1877" s="1"/>
  <c r="N1887"/>
  <c r="O1887" s="1"/>
  <c r="N1884"/>
  <c r="O1884" s="1"/>
  <c r="N1983"/>
  <c r="O1983" s="1"/>
  <c r="N1890"/>
  <c r="O1890" s="1"/>
  <c r="N1885"/>
  <c r="O1885" s="1"/>
  <c r="N1886"/>
  <c r="O1886" s="1"/>
  <c r="N1891"/>
  <c r="O1891" s="1"/>
  <c r="N1893"/>
  <c r="O1893" s="1"/>
  <c r="N1894"/>
  <c r="O1894" s="1"/>
  <c r="N1919"/>
  <c r="O1919" s="1"/>
  <c r="N1915"/>
  <c r="O1915" s="1"/>
  <c r="N1896"/>
  <c r="O1896" s="1"/>
  <c r="N1895"/>
  <c r="O1895" s="1"/>
  <c r="N1944"/>
  <c r="O1944" s="1"/>
  <c r="N1943"/>
  <c r="O1943" s="1"/>
  <c r="N1922"/>
  <c r="O1922" s="1"/>
  <c r="N1917"/>
  <c r="O1917" s="1"/>
  <c r="N1913"/>
  <c r="O1913" s="1"/>
  <c r="N1910"/>
  <c r="O1910" s="1"/>
  <c r="N1911"/>
  <c r="O1911" s="1"/>
  <c r="N1912"/>
  <c r="O1912" s="1"/>
  <c r="N1918"/>
  <c r="O1918" s="1"/>
  <c r="N1920"/>
  <c r="O1920" s="1"/>
  <c r="N1921"/>
  <c r="O1921" s="1"/>
  <c r="N1929"/>
  <c r="O1929" s="1"/>
  <c r="N1931"/>
  <c r="O1931" s="1"/>
  <c r="N2013"/>
  <c r="O2013" s="1"/>
  <c r="N2000"/>
  <c r="O2000" s="1"/>
  <c r="N1980"/>
  <c r="O1980" s="1"/>
  <c r="N1975"/>
  <c r="O1975" s="1"/>
  <c r="N1973"/>
  <c r="O1973" s="1"/>
  <c r="N1964"/>
  <c r="O1964" s="1"/>
  <c r="N1962"/>
  <c r="O1962" s="1"/>
  <c r="N1957"/>
  <c r="O1957" s="1"/>
  <c r="N1950"/>
  <c r="O1950" s="1"/>
  <c r="N1947"/>
  <c r="O1947" s="1"/>
  <c r="N1938"/>
  <c r="O1938" s="1"/>
  <c r="N1937"/>
  <c r="O1937" s="1"/>
  <c r="N1932"/>
  <c r="O1932" s="1"/>
  <c r="N1933"/>
  <c r="O1933" s="1"/>
  <c r="N1934"/>
  <c r="O1934" s="1"/>
  <c r="N1935"/>
  <c r="O1935" s="1"/>
  <c r="N1936"/>
  <c r="O1936" s="1"/>
  <c r="N1939"/>
  <c r="O1939" s="1"/>
  <c r="N1945"/>
  <c r="O1945" s="1"/>
  <c r="N1948"/>
  <c r="O1948" s="1"/>
  <c r="N1998"/>
  <c r="O1998" s="1"/>
  <c r="N1991"/>
  <c r="O1991" s="1"/>
  <c r="N1978"/>
  <c r="O1978" s="1"/>
  <c r="N1966"/>
  <c r="O1966" s="1"/>
  <c r="N1956"/>
  <c r="O1956" s="1"/>
  <c r="N1952"/>
  <c r="O1952" s="1"/>
  <c r="N1954"/>
  <c r="O1954" s="1"/>
  <c r="N1955"/>
  <c r="O1955" s="1"/>
  <c r="N1958"/>
  <c r="O1958" s="1"/>
  <c r="N1959"/>
  <c r="O1959" s="1"/>
  <c r="N1960"/>
  <c r="O1960" s="1"/>
  <c r="N1961"/>
  <c r="O1961" s="1"/>
  <c r="N1963"/>
  <c r="O1963" s="1"/>
  <c r="N1965"/>
  <c r="O1965" s="1"/>
  <c r="N1967"/>
  <c r="O1967" s="1"/>
  <c r="N1968"/>
  <c r="O1968" s="1"/>
  <c r="N1970"/>
  <c r="O1970" s="1"/>
  <c r="N1969"/>
  <c r="O1969" s="1"/>
  <c r="N1971"/>
  <c r="O1971" s="1"/>
  <c r="N1972"/>
  <c r="O1972" s="1"/>
  <c r="N1976"/>
  <c r="O1976" s="1"/>
  <c r="N1977"/>
  <c r="O1977" s="1"/>
  <c r="N1979"/>
  <c r="O1979" s="1"/>
  <c r="N1981"/>
  <c r="O1981" s="1"/>
  <c r="N1982"/>
  <c r="O1982" s="1"/>
  <c r="N1984"/>
  <c r="O1984" s="1"/>
  <c r="N1996"/>
  <c r="O1996" s="1"/>
  <c r="N1993"/>
  <c r="O1993" s="1"/>
  <c r="N1990"/>
  <c r="O1990" s="1"/>
  <c r="N1989"/>
  <c r="O1989" s="1"/>
  <c r="N1986"/>
  <c r="O1986" s="1"/>
  <c r="N1985"/>
  <c r="O1985" s="1"/>
  <c r="N1988"/>
  <c r="O1988" s="1"/>
  <c r="N1987"/>
  <c r="O1987" s="1"/>
  <c r="N1992"/>
  <c r="O1992" s="1"/>
  <c r="N1994"/>
  <c r="O1994" s="1"/>
  <c r="N1995"/>
  <c r="O1995" s="1"/>
  <c r="N1997"/>
  <c r="O1997" s="1"/>
  <c r="N1999"/>
  <c r="O1999" s="1"/>
  <c r="N2001"/>
  <c r="O2001" s="1"/>
  <c r="N2002"/>
  <c r="O2002" s="1"/>
  <c r="N2012"/>
  <c r="O2012" s="1"/>
  <c r="N2004"/>
  <c r="O2004" s="1"/>
  <c r="N2006"/>
  <c r="O2006" s="1"/>
  <c r="N2007"/>
  <c r="O2007" s="1"/>
  <c r="N2008"/>
  <c r="O2008" s="1"/>
  <c r="N2009"/>
  <c r="O2009" s="1"/>
  <c r="N2010"/>
  <c r="O2010" s="1"/>
  <c r="N2011"/>
  <c r="O2011" s="1"/>
  <c r="K2014"/>
  <c r="K2015"/>
  <c r="L2016"/>
  <c r="K2016"/>
  <c r="K2017"/>
  <c r="N2017" s="1"/>
  <c r="O2017" s="1"/>
  <c r="K2018"/>
  <c r="N2018" s="1"/>
  <c r="O2018" s="1"/>
  <c r="K2019"/>
  <c r="N2019" s="1"/>
  <c r="O2019" s="1"/>
  <c r="L2020"/>
  <c r="N2020" s="1"/>
  <c r="O2020" s="1"/>
  <c r="L2021"/>
  <c r="L2022"/>
  <c r="K2021"/>
  <c r="K2022"/>
  <c r="K2023"/>
  <c r="N2023" s="1"/>
  <c r="O2023" s="1"/>
  <c r="N2021" l="1"/>
  <c r="O2021" s="1"/>
  <c r="N2014"/>
  <c r="O2014" s="1"/>
  <c r="N2022"/>
  <c r="O2022" s="1"/>
  <c r="N2016"/>
  <c r="O2016" s="1"/>
  <c r="N2015"/>
  <c r="O2015" s="1"/>
  <c r="K2024"/>
  <c r="N2024" s="1"/>
  <c r="O2024" s="1"/>
  <c r="L2025"/>
  <c r="K2025"/>
  <c r="L2026"/>
  <c r="K2026"/>
  <c r="L2027"/>
  <c r="K2027"/>
  <c r="L2029"/>
  <c r="K2029"/>
  <c r="L2028"/>
  <c r="K2028"/>
  <c r="K2030"/>
  <c r="L2031"/>
  <c r="L2032"/>
  <c r="K2031"/>
  <c r="K2032"/>
  <c r="K2033"/>
  <c r="N2033" s="1"/>
  <c r="O2033" s="1"/>
  <c r="K2034"/>
  <c r="N2034" s="1"/>
  <c r="O2034" s="1"/>
  <c r="K2035"/>
  <c r="L2036"/>
  <c r="K2036"/>
  <c r="K2037"/>
  <c r="L2038"/>
  <c r="K2038"/>
  <c r="K2040"/>
  <c r="N2040" s="1"/>
  <c r="O2040" s="1"/>
  <c r="K2039"/>
  <c r="K2043"/>
  <c r="N2043" s="1"/>
  <c r="O2043" s="1"/>
  <c r="L2041"/>
  <c r="K2041"/>
  <c r="L2042"/>
  <c r="K2042"/>
  <c r="K2044"/>
  <c r="K2045"/>
  <c r="L2046"/>
  <c r="K2046"/>
  <c r="K2047"/>
  <c r="K2048"/>
  <c r="L2049"/>
  <c r="K2049"/>
  <c r="K2050"/>
  <c r="N2050" s="1"/>
  <c r="O2050" s="1"/>
  <c r="L2051"/>
  <c r="L2053"/>
  <c r="K2051"/>
  <c r="K2052"/>
  <c r="N2052" s="1"/>
  <c r="O2052" s="1"/>
  <c r="K2053"/>
  <c r="N2054"/>
  <c r="O2054" s="1"/>
  <c r="K2055"/>
  <c r="N2055" s="1"/>
  <c r="O2055" s="1"/>
  <c r="K2056"/>
  <c r="N2056" s="1"/>
  <c r="O2056" s="1"/>
  <c r="K2057"/>
  <c r="K2058"/>
  <c r="N2058" s="1"/>
  <c r="O2058" s="1"/>
  <c r="L2059"/>
  <c r="N2059" s="1"/>
  <c r="O2059" s="1"/>
  <c r="L2060"/>
  <c r="L2061"/>
  <c r="K2060"/>
  <c r="K2061"/>
  <c r="K2062"/>
  <c r="N2062" s="1"/>
  <c r="O2062" s="1"/>
  <c r="K2063"/>
  <c r="N2063" s="1"/>
  <c r="O2063" s="1"/>
  <c r="K2064"/>
  <c r="N2064" s="1"/>
  <c r="O2064" s="1"/>
  <c r="K2065"/>
  <c r="K2070"/>
  <c r="N2070" s="1"/>
  <c r="O2070" s="1"/>
  <c r="K2071"/>
  <c r="L2066"/>
  <c r="K2066"/>
  <c r="K2067"/>
  <c r="N2067" s="1"/>
  <c r="O2067" s="1"/>
  <c r="K2068"/>
  <c r="N2068" s="1"/>
  <c r="O2068" s="1"/>
  <c r="L2069"/>
  <c r="K2069"/>
  <c r="K2072"/>
  <c r="N2072" s="1"/>
  <c r="O2072" s="1"/>
  <c r="K2073"/>
  <c r="K2074"/>
  <c r="N2074" s="1"/>
  <c r="O2074" s="1"/>
  <c r="K2075"/>
  <c r="N2075" s="1"/>
  <c r="O2075" s="1"/>
  <c r="K2076"/>
  <c r="N2076" s="1"/>
  <c r="O2076" s="1"/>
  <c r="K2077"/>
  <c r="N2077" s="1"/>
  <c r="O2077" s="1"/>
  <c r="L2078"/>
  <c r="N2078" s="1"/>
  <c r="O2078" s="1"/>
  <c r="L2079"/>
  <c r="K2079"/>
  <c r="K2080"/>
  <c r="N2080" s="1"/>
  <c r="O2080" s="1"/>
  <c r="K2081"/>
  <c r="N2081" s="1"/>
  <c r="O2081" s="1"/>
  <c r="L2082"/>
  <c r="K2082"/>
  <c r="L2083"/>
  <c r="K2083"/>
  <c r="K2084"/>
  <c r="N2084" s="1"/>
  <c r="O2084" s="1"/>
  <c r="K2085"/>
  <c r="N2085" s="1"/>
  <c r="O2085" s="1"/>
  <c r="K2086"/>
  <c r="N2086" s="1"/>
  <c r="O2086" s="1"/>
  <c r="K2088"/>
  <c r="N2088" s="1"/>
  <c r="O2088" s="1"/>
  <c r="N2087"/>
  <c r="O2087" s="1"/>
  <c r="K2089"/>
  <c r="N2089" s="1"/>
  <c r="O2089" s="1"/>
  <c r="L2090"/>
  <c r="N2090" s="1"/>
  <c r="O2090" s="1"/>
  <c r="L2091"/>
  <c r="K2091"/>
  <c r="K2092"/>
  <c r="N2092" s="1"/>
  <c r="O2092" s="1"/>
  <c r="K2093"/>
  <c r="N2093" s="1"/>
  <c r="O2093" s="1"/>
  <c r="L2094"/>
  <c r="K2094"/>
  <c r="L2095"/>
  <c r="K2095"/>
  <c r="L2096"/>
  <c r="K2096"/>
  <c r="L2097"/>
  <c r="K2097"/>
  <c r="K2098"/>
  <c r="L2099"/>
  <c r="K2099"/>
  <c r="L2100"/>
  <c r="L2101"/>
  <c r="K2100"/>
  <c r="K2101"/>
  <c r="K2102"/>
  <c r="N2102" s="1"/>
  <c r="O2102" s="1"/>
  <c r="N2103"/>
  <c r="O2103" s="1"/>
  <c r="K2104"/>
  <c r="L2105"/>
  <c r="K2105"/>
  <c r="K2106"/>
  <c r="N2106" s="1"/>
  <c r="O2106" s="1"/>
  <c r="K2107"/>
  <c r="N2107" s="1"/>
  <c r="O2107" s="1"/>
  <c r="L2108"/>
  <c r="K2109"/>
  <c r="K2110"/>
  <c r="N2110" s="1"/>
  <c r="O2110" s="1"/>
  <c r="L2111"/>
  <c r="K2111"/>
  <c r="K2112"/>
  <c r="N2112" s="1"/>
  <c r="O2112" s="1"/>
  <c r="K2113"/>
  <c r="N2113" s="1"/>
  <c r="O2113" s="1"/>
  <c r="L2114"/>
  <c r="K2114"/>
  <c r="L2115"/>
  <c r="K2115"/>
  <c r="L2116"/>
  <c r="K2116"/>
  <c r="L2117"/>
  <c r="K2117"/>
  <c r="L2118"/>
  <c r="K2118"/>
  <c r="L2119"/>
  <c r="K2119"/>
  <c r="K2120"/>
  <c r="L2121"/>
  <c r="K2121"/>
  <c r="L2122"/>
  <c r="K2122"/>
  <c r="L2123"/>
  <c r="K2123"/>
  <c r="K2124"/>
  <c r="N2124" s="1"/>
  <c r="O2124" s="1"/>
  <c r="K2125"/>
  <c r="N2125" s="1"/>
  <c r="O2125" s="1"/>
  <c r="L2126"/>
  <c r="K2126"/>
  <c r="L2127"/>
  <c r="K2127"/>
  <c r="K2128"/>
  <c r="L2129"/>
  <c r="K2129"/>
  <c r="K2130"/>
  <c r="N2130" s="1"/>
  <c r="O2130" s="1"/>
  <c r="K2131"/>
  <c r="N2131" s="1"/>
  <c r="O2131" s="1"/>
  <c r="K2132"/>
  <c r="N2132" s="1"/>
  <c r="O2132" s="1"/>
  <c r="K2133"/>
  <c r="N2133" s="1"/>
  <c r="O2133" s="1"/>
  <c r="K2134"/>
  <c r="N2134" s="1"/>
  <c r="O2134" s="1"/>
  <c r="K2135"/>
  <c r="N2135" s="1"/>
  <c r="O2135" s="1"/>
  <c r="L2136"/>
  <c r="K2136"/>
  <c r="K2137"/>
  <c r="N2137" s="1"/>
  <c r="O2137" s="1"/>
  <c r="L2139"/>
  <c r="K2138"/>
  <c r="N2138" s="1"/>
  <c r="O2138" s="1"/>
  <c r="K2139"/>
  <c r="K2140"/>
  <c r="N2140" s="1"/>
  <c r="O2140" s="1"/>
  <c r="L2141"/>
  <c r="K2141"/>
  <c r="K2142"/>
  <c r="N2142" s="1"/>
  <c r="O2142" s="1"/>
  <c r="L2143"/>
  <c r="K2143"/>
  <c r="K2144"/>
  <c r="L2144"/>
  <c r="K2145"/>
  <c r="N2145" s="1"/>
  <c r="O2145" s="1"/>
  <c r="K2146"/>
  <c r="N2146" s="1"/>
  <c r="O2146" s="1"/>
  <c r="K2147"/>
  <c r="N2147" s="1"/>
  <c r="O2147" s="1"/>
  <c r="K2148"/>
  <c r="N2148" s="1"/>
  <c r="O2148" s="1"/>
  <c r="K2149"/>
  <c r="N2149" s="1"/>
  <c r="O2149" s="1"/>
  <c r="N2060" l="1"/>
  <c r="O2060" s="1"/>
  <c r="N2051"/>
  <c r="O2051" s="1"/>
  <c r="N2100"/>
  <c r="O2100" s="1"/>
  <c r="N2101"/>
  <c r="O2101" s="1"/>
  <c r="N2139"/>
  <c r="O2139" s="1"/>
  <c r="N2042"/>
  <c r="O2042" s="1"/>
  <c r="N2041"/>
  <c r="O2041" s="1"/>
  <c r="N2036"/>
  <c r="O2036" s="1"/>
  <c r="N2031"/>
  <c r="O2031" s="1"/>
  <c r="N2029"/>
  <c r="O2029" s="1"/>
  <c r="N2025"/>
  <c r="O2025" s="1"/>
  <c r="N2120"/>
  <c r="O2120" s="1"/>
  <c r="N2038"/>
  <c r="O2038" s="1"/>
  <c r="N2032"/>
  <c r="O2032" s="1"/>
  <c r="N2028"/>
  <c r="O2028" s="1"/>
  <c r="N2027"/>
  <c r="O2027" s="1"/>
  <c r="N2026"/>
  <c r="O2026" s="1"/>
  <c r="N2030"/>
  <c r="O2030" s="1"/>
  <c r="N2035"/>
  <c r="O2035" s="1"/>
  <c r="N2037"/>
  <c r="O2037" s="1"/>
  <c r="N2039"/>
  <c r="O2039" s="1"/>
  <c r="N2083"/>
  <c r="O2083" s="1"/>
  <c r="N2082"/>
  <c r="O2082" s="1"/>
  <c r="N2069"/>
  <c r="O2069" s="1"/>
  <c r="N2053"/>
  <c r="O2053" s="1"/>
  <c r="N2049"/>
  <c r="O2049" s="1"/>
  <c r="N2046"/>
  <c r="O2046" s="1"/>
  <c r="N2044"/>
  <c r="O2044" s="1"/>
  <c r="N2045"/>
  <c r="O2045" s="1"/>
  <c r="N2047"/>
  <c r="O2047" s="1"/>
  <c r="N2048"/>
  <c r="O2048" s="1"/>
  <c r="N2141"/>
  <c r="O2141" s="1"/>
  <c r="N2126"/>
  <c r="O2126" s="1"/>
  <c r="N2123"/>
  <c r="O2123" s="1"/>
  <c r="N2118"/>
  <c r="O2118" s="1"/>
  <c r="N2115"/>
  <c r="O2115" s="1"/>
  <c r="N2114"/>
  <c r="O2114" s="1"/>
  <c r="N2111"/>
  <c r="O2111" s="1"/>
  <c r="N2096"/>
  <c r="O2096" s="1"/>
  <c r="N2095"/>
  <c r="O2095" s="1"/>
  <c r="N2061"/>
  <c r="O2061" s="1"/>
  <c r="N2057"/>
  <c r="O2057" s="1"/>
  <c r="N2065"/>
  <c r="O2065" s="1"/>
  <c r="N2099"/>
  <c r="O2099" s="1"/>
  <c r="N2066"/>
  <c r="O2066" s="1"/>
  <c r="N2071"/>
  <c r="O2071" s="1"/>
  <c r="N2073"/>
  <c r="O2073" s="1"/>
  <c r="N2079"/>
  <c r="O2079" s="1"/>
  <c r="N2091"/>
  <c r="O2091" s="1"/>
  <c r="N2094"/>
  <c r="O2094" s="1"/>
  <c r="N2097"/>
  <c r="O2097" s="1"/>
  <c r="N2098"/>
  <c r="O2098" s="1"/>
  <c r="N2136"/>
  <c r="O2136" s="1"/>
  <c r="N2129"/>
  <c r="O2129" s="1"/>
  <c r="N2127"/>
  <c r="O2127" s="1"/>
  <c r="N2116"/>
  <c r="O2116" s="1"/>
  <c r="N2105"/>
  <c r="O2105" s="1"/>
  <c r="N2104"/>
  <c r="O2104" s="1"/>
  <c r="N2108"/>
  <c r="O2108" s="1"/>
  <c r="N2109"/>
  <c r="O2109" s="1"/>
  <c r="N2117"/>
  <c r="O2117" s="1"/>
  <c r="N2119"/>
  <c r="O2119" s="1"/>
  <c r="N2121"/>
  <c r="O2121" s="1"/>
  <c r="N2122"/>
  <c r="O2122" s="1"/>
  <c r="N2143"/>
  <c r="O2143" s="1"/>
  <c r="N2128"/>
  <c r="O2128" s="1"/>
  <c r="N2144"/>
  <c r="O2144" s="1"/>
  <c r="K2150"/>
  <c r="N2150" s="1"/>
  <c r="O2150" s="1"/>
  <c r="L2151"/>
  <c r="K2151"/>
  <c r="K2152"/>
  <c r="N2152" s="1"/>
  <c r="O2152" s="1"/>
  <c r="L2153"/>
  <c r="K2153"/>
  <c r="K2154"/>
  <c r="K2155"/>
  <c r="K2156"/>
  <c r="K2157"/>
  <c r="K2158"/>
  <c r="L2159"/>
  <c r="K2159"/>
  <c r="K2160"/>
  <c r="N2160" s="1"/>
  <c r="O2160" s="1"/>
  <c r="K2161"/>
  <c r="N2161" s="1"/>
  <c r="O2161" s="1"/>
  <c r="K2162"/>
  <c r="N2162" s="1"/>
  <c r="O2162" s="1"/>
  <c r="L2163"/>
  <c r="K2163"/>
  <c r="K2164"/>
  <c r="N2164" s="1"/>
  <c r="O2164" s="1"/>
  <c r="L2165"/>
  <c r="K2165"/>
  <c r="L2166"/>
  <c r="K2166"/>
  <c r="L2167"/>
  <c r="N2167" s="1"/>
  <c r="O2167" s="1"/>
  <c r="K2168"/>
  <c r="N2168" s="1"/>
  <c r="O2168" s="1"/>
  <c r="K2171"/>
  <c r="K2169"/>
  <c r="N2169" s="1"/>
  <c r="O2169" s="1"/>
  <c r="K2170"/>
  <c r="N2170" s="1"/>
  <c r="O2170" s="1"/>
  <c r="L2172"/>
  <c r="L2173"/>
  <c r="K2173"/>
  <c r="K2174"/>
  <c r="N2174" s="1"/>
  <c r="O2174" s="1"/>
  <c r="K2175"/>
  <c r="N2175" s="1"/>
  <c r="O2175" s="1"/>
  <c r="K2176"/>
  <c r="N2176" s="1"/>
  <c r="O2176" s="1"/>
  <c r="L2177"/>
  <c r="K2177"/>
  <c r="K2178"/>
  <c r="L2180"/>
  <c r="L2179"/>
  <c r="K2179"/>
  <c r="K2180"/>
  <c r="K2181"/>
  <c r="K2182"/>
  <c r="L2183"/>
  <c r="K2183"/>
  <c r="K2184"/>
  <c r="L2185"/>
  <c r="K2185"/>
  <c r="L2186"/>
  <c r="K2186"/>
  <c r="L2187"/>
  <c r="K2187"/>
  <c r="K2188"/>
  <c r="N2188" s="1"/>
  <c r="O2188" s="1"/>
  <c r="K2189"/>
  <c r="N2189" s="1"/>
  <c r="O2189" s="1"/>
  <c r="K2190"/>
  <c r="N2190" s="1"/>
  <c r="O2190" s="1"/>
  <c r="K2191"/>
  <c r="N2191" s="1"/>
  <c r="O2191" s="1"/>
  <c r="L2193"/>
  <c r="L2194"/>
  <c r="N2192"/>
  <c r="O2192" s="1"/>
  <c r="K2193"/>
  <c r="K2194"/>
  <c r="K2195"/>
  <c r="N2195" s="1"/>
  <c r="O2195" s="1"/>
  <c r="K2196"/>
  <c r="N2196" s="1"/>
  <c r="O2196" s="1"/>
  <c r="K2197"/>
  <c r="N2197" s="1"/>
  <c r="O2197" s="1"/>
  <c r="K2198"/>
  <c r="N2198" s="1"/>
  <c r="O2198" s="1"/>
  <c r="K2199"/>
  <c r="N2199" s="1"/>
  <c r="O2199" s="1"/>
  <c r="L2200"/>
  <c r="K2200"/>
  <c r="K2201"/>
  <c r="N2201" s="1"/>
  <c r="O2201" s="1"/>
  <c r="L2202"/>
  <c r="K2202"/>
  <c r="K2203"/>
  <c r="K2204"/>
  <c r="L2205"/>
  <c r="K2205"/>
  <c r="L2206"/>
  <c r="K2206"/>
  <c r="K2207"/>
  <c r="L2208"/>
  <c r="K2208"/>
  <c r="L2209"/>
  <c r="K2209"/>
  <c r="K2210"/>
  <c r="N2210" s="1"/>
  <c r="O2210" s="1"/>
  <c r="L2211"/>
  <c r="K2211"/>
  <c r="L2212"/>
  <c r="K2212"/>
  <c r="L2213"/>
  <c r="K2213"/>
  <c r="K2217"/>
  <c r="N2217" s="1"/>
  <c r="O2217" s="1"/>
  <c r="K2216"/>
  <c r="N2216" s="1"/>
  <c r="O2216" s="1"/>
  <c r="L2214"/>
  <c r="K2214"/>
  <c r="L2215"/>
  <c r="K2215"/>
  <c r="K2218"/>
  <c r="L2220"/>
  <c r="K2220"/>
  <c r="K2219"/>
  <c r="N2219" s="1"/>
  <c r="O2219" s="1"/>
  <c r="L2221"/>
  <c r="K2221"/>
  <c r="L2222"/>
  <c r="L2223"/>
  <c r="K2222"/>
  <c r="K2223"/>
  <c r="K2224"/>
  <c r="N2224" s="1"/>
  <c r="O2224" s="1"/>
  <c r="K2225"/>
  <c r="N2225" s="1"/>
  <c r="O2225" s="1"/>
  <c r="K2226"/>
  <c r="N2226" s="1"/>
  <c r="O2226" s="1"/>
  <c r="L2229"/>
  <c r="N2227"/>
  <c r="O2227" s="1"/>
  <c r="K2228"/>
  <c r="N2228" s="1"/>
  <c r="O2228" s="1"/>
  <c r="K2229"/>
  <c r="K2230"/>
  <c r="N2230" s="1"/>
  <c r="O2230" s="1"/>
  <c r="K2231"/>
  <c r="K2232"/>
  <c r="N2232" s="1"/>
  <c r="O2232" s="1"/>
  <c r="L2233"/>
  <c r="K2233"/>
  <c r="K2234"/>
  <c r="K2235"/>
  <c r="N2235" s="1"/>
  <c r="O2235" s="1"/>
  <c r="K2236"/>
  <c r="N2236" s="1"/>
  <c r="O2236" s="1"/>
  <c r="L2237"/>
  <c r="L2238"/>
  <c r="K2237"/>
  <c r="K2238"/>
  <c r="K2239"/>
  <c r="N2239" s="1"/>
  <c r="O2239" s="1"/>
  <c r="K2240"/>
  <c r="N2240" s="1"/>
  <c r="O2240" s="1"/>
  <c r="K2241"/>
  <c r="K2242"/>
  <c r="N2242" s="1"/>
  <c r="O2242" s="1"/>
  <c r="K2243"/>
  <c r="N2244"/>
  <c r="O2244" s="1"/>
  <c r="N2245"/>
  <c r="O2245" s="1"/>
  <c r="K2247"/>
  <c r="K2248"/>
  <c r="K2249"/>
  <c r="K2250"/>
  <c r="L2251"/>
  <c r="K2252"/>
  <c r="K2253"/>
  <c r="L2254"/>
  <c r="K2254"/>
  <c r="L2255"/>
  <c r="K2255"/>
  <c r="L2256"/>
  <c r="K2256"/>
  <c r="K2257"/>
  <c r="L2261"/>
  <c r="L2258"/>
  <c r="K2258"/>
  <c r="L2263"/>
  <c r="K2263"/>
  <c r="K2262"/>
  <c r="N2157" l="1"/>
  <c r="O2157" s="1"/>
  <c r="N2156"/>
  <c r="O2156" s="1"/>
  <c r="N2155"/>
  <c r="O2155" s="1"/>
  <c r="N2154"/>
  <c r="O2154" s="1"/>
  <c r="N2163"/>
  <c r="O2163" s="1"/>
  <c r="N2159"/>
  <c r="O2159" s="1"/>
  <c r="N2151"/>
  <c r="O2151" s="1"/>
  <c r="N2153"/>
  <c r="O2153" s="1"/>
  <c r="N2158"/>
  <c r="O2158" s="1"/>
  <c r="N2214"/>
  <c r="O2214" s="1"/>
  <c r="N2212"/>
  <c r="O2212" s="1"/>
  <c r="N2209"/>
  <c r="O2209" s="1"/>
  <c r="N2208"/>
  <c r="O2208" s="1"/>
  <c r="N2173"/>
  <c r="O2173" s="1"/>
  <c r="N2166"/>
  <c r="O2166" s="1"/>
  <c r="N2165"/>
  <c r="O2165" s="1"/>
  <c r="N2200"/>
  <c r="O2200" s="1"/>
  <c r="N2171"/>
  <c r="O2171" s="1"/>
  <c r="N2172"/>
  <c r="O2172" s="1"/>
  <c r="N2178"/>
  <c r="O2178" s="1"/>
  <c r="N2177"/>
  <c r="O2177" s="1"/>
  <c r="N2180"/>
  <c r="O2180" s="1"/>
  <c r="N2179"/>
  <c r="O2179" s="1"/>
  <c r="N2181"/>
  <c r="O2181" s="1"/>
  <c r="N2182"/>
  <c r="O2182" s="1"/>
  <c r="N2183"/>
  <c r="O2183" s="1"/>
  <c r="N2184"/>
  <c r="O2184" s="1"/>
  <c r="N2185"/>
  <c r="O2185" s="1"/>
  <c r="N2186"/>
  <c r="O2186" s="1"/>
  <c r="N2187"/>
  <c r="O2187" s="1"/>
  <c r="N2193"/>
  <c r="O2193" s="1"/>
  <c r="N2194"/>
  <c r="O2194" s="1"/>
  <c r="N2202"/>
  <c r="O2202" s="1"/>
  <c r="N2203"/>
  <c r="O2203" s="1"/>
  <c r="N2204"/>
  <c r="O2204" s="1"/>
  <c r="N2205"/>
  <c r="O2205" s="1"/>
  <c r="N2206"/>
  <c r="O2206" s="1"/>
  <c r="N2207"/>
  <c r="O2207" s="1"/>
  <c r="N2211"/>
  <c r="O2211" s="1"/>
  <c r="N2213"/>
  <c r="O2213" s="1"/>
  <c r="N2215"/>
  <c r="O2215" s="1"/>
  <c r="N2249"/>
  <c r="O2249" s="1"/>
  <c r="N2221"/>
  <c r="O2221" s="1"/>
  <c r="N2218"/>
  <c r="O2218" s="1"/>
  <c r="N2220"/>
  <c r="O2220" s="1"/>
  <c r="N2222"/>
  <c r="O2222" s="1"/>
  <c r="N2247"/>
  <c r="O2247" s="1"/>
  <c r="N2237"/>
  <c r="O2237" s="1"/>
  <c r="N2223"/>
  <c r="O2223" s="1"/>
  <c r="N2229"/>
  <c r="O2229" s="1"/>
  <c r="N2231"/>
  <c r="O2231" s="1"/>
  <c r="N2233"/>
  <c r="O2233" s="1"/>
  <c r="N2234"/>
  <c r="O2234" s="1"/>
  <c r="N2238"/>
  <c r="O2238" s="1"/>
  <c r="N2241"/>
  <c r="O2241" s="1"/>
  <c r="N2243"/>
  <c r="O2243" s="1"/>
  <c r="N2246"/>
  <c r="O2246" s="1"/>
  <c r="N2248"/>
  <c r="O2248" s="1"/>
  <c r="N2263"/>
  <c r="O2263" s="1"/>
  <c r="N2262"/>
  <c r="O2262" s="1"/>
  <c r="N2253"/>
  <c r="O2253" s="1"/>
  <c r="N2250"/>
  <c r="O2250" s="1"/>
  <c r="N2252"/>
  <c r="O2252" s="1"/>
  <c r="N2256"/>
  <c r="O2256" s="1"/>
  <c r="O2251"/>
  <c r="N2254"/>
  <c r="O2254" s="1"/>
  <c r="N2255"/>
  <c r="O2255" s="1"/>
  <c r="N2257"/>
  <c r="O2257" s="1"/>
  <c r="N2258"/>
  <c r="O2258" s="1"/>
  <c r="L2259"/>
  <c r="K2259"/>
  <c r="K2260"/>
  <c r="K2261"/>
  <c r="K2264"/>
  <c r="N2264" s="1"/>
  <c r="O2264" s="1"/>
  <c r="K2265"/>
  <c r="L2266"/>
  <c r="K2266"/>
  <c r="K2270"/>
  <c r="L2267"/>
  <c r="K2267"/>
  <c r="K2268"/>
  <c r="L2269"/>
  <c r="K2269"/>
  <c r="L2272"/>
  <c r="K2272"/>
  <c r="L2273"/>
  <c r="K2273"/>
  <c r="L2274"/>
  <c r="K2274"/>
  <c r="L2275"/>
  <c r="K2275"/>
  <c r="K2276"/>
  <c r="L2277"/>
  <c r="L2278"/>
  <c r="K2278"/>
  <c r="L2279"/>
  <c r="K2279"/>
  <c r="K2280"/>
  <c r="N2280" s="1"/>
  <c r="O2280" s="1"/>
  <c r="L2281"/>
  <c r="K2282"/>
  <c r="K2281"/>
  <c r="L2284"/>
  <c r="K2283"/>
  <c r="K2284"/>
  <c r="K2285"/>
  <c r="K2286"/>
  <c r="L2287"/>
  <c r="K2287"/>
  <c r="K2288"/>
  <c r="L2289"/>
  <c r="K2289"/>
  <c r="L2290"/>
  <c r="K2290"/>
  <c r="L2291"/>
  <c r="K2291"/>
  <c r="K2292"/>
  <c r="K2294"/>
  <c r="L2293"/>
  <c r="K2293"/>
  <c r="L2295"/>
  <c r="K2295"/>
  <c r="K2296"/>
  <c r="L2298"/>
  <c r="L2297"/>
  <c r="K2297"/>
  <c r="K2298"/>
  <c r="K2299"/>
  <c r="L2300"/>
  <c r="K2300"/>
  <c r="L2301"/>
  <c r="K2301"/>
  <c r="L2302"/>
  <c r="K2302"/>
  <c r="L2303"/>
  <c r="K2303"/>
  <c r="L2304"/>
  <c r="K2304"/>
  <c r="L2306"/>
  <c r="L2305"/>
  <c r="K2305"/>
  <c r="K2306"/>
  <c r="K2307"/>
  <c r="L2310"/>
  <c r="L2309"/>
  <c r="K2308"/>
  <c r="K2309"/>
  <c r="K2310"/>
  <c r="K2311"/>
  <c r="K2312"/>
  <c r="L2313"/>
  <c r="K2313"/>
  <c r="L2314"/>
  <c r="K2314"/>
  <c r="L2315"/>
  <c r="K2315"/>
  <c r="L2316"/>
  <c r="K2316"/>
  <c r="L2317"/>
  <c r="K2317"/>
  <c r="K2318"/>
  <c r="L2319"/>
  <c r="K2319"/>
  <c r="K2320"/>
  <c r="L2321"/>
  <c r="K2321"/>
  <c r="L2323"/>
  <c r="L2324"/>
  <c r="L2325"/>
  <c r="L2336"/>
  <c r="K2322"/>
  <c r="N2322" s="1"/>
  <c r="O2322" s="1"/>
  <c r="K2323"/>
  <c r="K2324"/>
  <c r="K2325"/>
  <c r="K2326"/>
  <c r="N2326" s="1"/>
  <c r="O2326" s="1"/>
  <c r="K2327"/>
  <c r="N2327" s="1"/>
  <c r="O2327" s="1"/>
  <c r="K2328"/>
  <c r="N2328" s="1"/>
  <c r="O2328" s="1"/>
  <c r="K2329"/>
  <c r="N2329" s="1"/>
  <c r="O2329" s="1"/>
  <c r="K2330"/>
  <c r="N2330" s="1"/>
  <c r="O2330" s="1"/>
  <c r="K2331"/>
  <c r="N2331" s="1"/>
  <c r="O2331" s="1"/>
  <c r="K2332"/>
  <c r="N2332" s="1"/>
  <c r="O2332" s="1"/>
  <c r="L2334"/>
  <c r="L2337"/>
  <c r="K2333"/>
  <c r="N2333" s="1"/>
  <c r="O2333" s="1"/>
  <c r="K2334"/>
  <c r="K2335"/>
  <c r="N2335" s="1"/>
  <c r="O2335" s="1"/>
  <c r="K2337"/>
  <c r="K2336"/>
  <c r="K2338"/>
  <c r="N2338" s="1"/>
  <c r="O2338" s="1"/>
  <c r="K2339"/>
  <c r="N2339" s="1"/>
  <c r="O2339" s="1"/>
  <c r="L2340"/>
  <c r="K2340"/>
  <c r="K2341"/>
  <c r="N2341" s="1"/>
  <c r="O2341" s="1"/>
  <c r="K2342"/>
  <c r="N2342" s="1"/>
  <c r="O2342" s="1"/>
  <c r="K2343"/>
  <c r="K2344"/>
  <c r="L2345"/>
  <c r="K2345"/>
  <c r="L2346"/>
  <c r="K2346"/>
  <c r="N2307" l="1"/>
  <c r="O2307" s="1"/>
  <c r="N2303"/>
  <c r="O2303" s="1"/>
  <c r="N2270"/>
  <c r="O2270" s="1"/>
  <c r="N2274"/>
  <c r="O2274" s="1"/>
  <c r="N2273"/>
  <c r="O2273" s="1"/>
  <c r="N2283"/>
  <c r="O2283" s="1"/>
  <c r="N2267"/>
  <c r="O2267" s="1"/>
  <c r="N2259"/>
  <c r="O2259" s="1"/>
  <c r="N2260"/>
  <c r="O2260" s="1"/>
  <c r="N2261"/>
  <c r="O2261" s="1"/>
  <c r="N2265"/>
  <c r="O2265" s="1"/>
  <c r="N2266"/>
  <c r="O2266" s="1"/>
  <c r="N2268"/>
  <c r="O2268" s="1"/>
  <c r="N2269"/>
  <c r="O2269" s="1"/>
  <c r="N2271"/>
  <c r="O2271" s="1"/>
  <c r="N2272"/>
  <c r="O2272" s="1"/>
  <c r="N2276"/>
  <c r="O2276" s="1"/>
  <c r="N2275"/>
  <c r="O2275" s="1"/>
  <c r="N2277"/>
  <c r="O2277" s="1"/>
  <c r="N2278"/>
  <c r="O2278" s="1"/>
  <c r="N2279"/>
  <c r="O2279" s="1"/>
  <c r="N2282"/>
  <c r="O2282" s="1"/>
  <c r="N2281"/>
  <c r="O2281" s="1"/>
  <c r="N2285"/>
  <c r="O2285" s="1"/>
  <c r="N2284"/>
  <c r="O2284" s="1"/>
  <c r="N2340"/>
  <c r="O2340" s="1"/>
  <c r="N2315"/>
  <c r="O2315" s="1"/>
  <c r="N2294"/>
  <c r="O2294" s="1"/>
  <c r="N2287"/>
  <c r="O2287" s="1"/>
  <c r="N2286"/>
  <c r="O2286" s="1"/>
  <c r="N2288"/>
  <c r="O2288" s="1"/>
  <c r="N2290"/>
  <c r="O2290" s="1"/>
  <c r="N2289"/>
  <c r="O2289" s="1"/>
  <c r="N2292"/>
  <c r="O2292" s="1"/>
  <c r="N2291"/>
  <c r="O2291" s="1"/>
  <c r="N2308"/>
  <c r="O2308" s="1"/>
  <c r="N2317"/>
  <c r="O2317" s="1"/>
  <c r="N2293"/>
  <c r="O2293" s="1"/>
  <c r="N2295"/>
  <c r="O2295" s="1"/>
  <c r="N2296"/>
  <c r="O2296" s="1"/>
  <c r="N2298"/>
  <c r="O2298" s="1"/>
  <c r="N2297"/>
  <c r="O2297" s="1"/>
  <c r="N2299"/>
  <c r="O2299" s="1"/>
  <c r="N2300"/>
  <c r="O2300" s="1"/>
  <c r="N2301"/>
  <c r="O2301" s="1"/>
  <c r="N2302"/>
  <c r="O2302" s="1"/>
  <c r="N2304"/>
  <c r="O2304" s="1"/>
  <c r="N2306"/>
  <c r="O2306" s="1"/>
  <c r="N2305"/>
  <c r="O2305" s="1"/>
  <c r="N2311"/>
  <c r="O2311" s="1"/>
  <c r="N2310"/>
  <c r="O2310" s="1"/>
  <c r="N2309"/>
  <c r="O2309" s="1"/>
  <c r="N2312"/>
  <c r="O2312" s="1"/>
  <c r="N2313"/>
  <c r="O2313" s="1"/>
  <c r="N2314"/>
  <c r="O2314" s="1"/>
  <c r="N2316"/>
  <c r="O2316" s="1"/>
  <c r="N2318"/>
  <c r="O2318" s="1"/>
  <c r="N2319"/>
  <c r="O2319" s="1"/>
  <c r="N2323"/>
  <c r="O2323" s="1"/>
  <c r="N2320"/>
  <c r="O2320" s="1"/>
  <c r="N2321"/>
  <c r="O2321" s="1"/>
  <c r="N2325"/>
  <c r="O2325" s="1"/>
  <c r="N2324"/>
  <c r="O2324" s="1"/>
  <c r="N2336"/>
  <c r="O2336" s="1"/>
  <c r="N2334"/>
  <c r="O2334" s="1"/>
  <c r="N2337"/>
  <c r="O2337" s="1"/>
  <c r="N2343"/>
  <c r="O2343" s="1"/>
  <c r="N2344"/>
  <c r="O2344" s="1"/>
  <c r="N2345"/>
  <c r="O2345" s="1"/>
  <c r="N2346"/>
  <c r="O2346" s="1"/>
  <c r="L2347"/>
  <c r="K2347"/>
  <c r="L2349"/>
  <c r="L2350"/>
  <c r="L2351"/>
  <c r="L2352"/>
  <c r="L2355"/>
  <c r="L2357"/>
  <c r="K2348"/>
  <c r="K2349"/>
  <c r="K2350"/>
  <c r="K2351"/>
  <c r="K2352"/>
  <c r="K2353"/>
  <c r="K2354"/>
  <c r="K2355"/>
  <c r="K2356"/>
  <c r="K2357"/>
  <c r="K2358"/>
  <c r="K2359"/>
  <c r="K2360"/>
  <c r="K2361"/>
  <c r="L2362"/>
  <c r="K2362"/>
  <c r="L2363"/>
  <c r="K2363"/>
  <c r="K2364"/>
  <c r="L2365"/>
  <c r="K2365"/>
  <c r="K2366"/>
  <c r="K2367"/>
  <c r="K2368"/>
  <c r="K2369"/>
  <c r="L2370"/>
  <c r="K2370"/>
  <c r="K2371"/>
  <c r="L2372"/>
  <c r="K2372"/>
  <c r="K2373"/>
  <c r="K2374"/>
  <c r="N2374" s="1"/>
  <c r="O2374" s="1"/>
  <c r="K2375"/>
  <c r="N2375" s="1"/>
  <c r="O2375" s="1"/>
  <c r="L2378"/>
  <c r="K2376"/>
  <c r="N2376" s="1"/>
  <c r="O2376" s="1"/>
  <c r="K2377"/>
  <c r="N2377" s="1"/>
  <c r="O2377" s="1"/>
  <c r="K2378"/>
  <c r="K2379"/>
  <c r="N2379" s="1"/>
  <c r="O2379" s="1"/>
  <c r="K2380"/>
  <c r="N2380" s="1"/>
  <c r="O2380" s="1"/>
  <c r="K2381"/>
  <c r="N2381" s="1"/>
  <c r="O2381" s="1"/>
  <c r="K2382"/>
  <c r="N2382" s="1"/>
  <c r="O2382" s="1"/>
  <c r="K2383"/>
  <c r="N2383" s="1"/>
  <c r="O2383" s="1"/>
  <c r="K2384"/>
  <c r="N2384" s="1"/>
  <c r="O2384" s="1"/>
  <c r="L2385"/>
  <c r="K2385"/>
  <c r="K2386"/>
  <c r="N2386" s="1"/>
  <c r="O2386" s="1"/>
  <c r="K2387"/>
  <c r="N2387" s="1"/>
  <c r="O2387" s="1"/>
  <c r="K2388"/>
  <c r="N2388" s="1"/>
  <c r="O2388" s="1"/>
  <c r="K2389"/>
  <c r="K2390"/>
  <c r="K2391"/>
  <c r="K2392"/>
  <c r="L2393"/>
  <c r="K2393"/>
  <c r="L2394"/>
  <c r="K2394"/>
  <c r="K2395"/>
  <c r="K2396"/>
  <c r="K2397"/>
  <c r="L2398"/>
  <c r="K2398"/>
  <c r="K2399"/>
  <c r="N2399" s="1"/>
  <c r="O2399" s="1"/>
  <c r="K2400"/>
  <c r="N2400" s="1"/>
  <c r="O2400" s="1"/>
  <c r="K2401"/>
  <c r="N2401" s="1"/>
  <c r="O2401" s="1"/>
  <c r="L2403"/>
  <c r="K2402"/>
  <c r="N2402" s="1"/>
  <c r="O2402" s="1"/>
  <c r="K2403"/>
  <c r="K2404"/>
  <c r="N2404" s="1"/>
  <c r="O2404" s="1"/>
  <c r="K2405"/>
  <c r="L2406"/>
  <c r="K2406"/>
  <c r="L2407"/>
  <c r="K2407"/>
  <c r="K2408"/>
  <c r="N2408" s="1"/>
  <c r="O2408" s="1"/>
  <c r="L2409"/>
  <c r="K2409"/>
  <c r="K2410"/>
  <c r="K2411"/>
  <c r="N2411" s="1"/>
  <c r="O2411" s="1"/>
  <c r="L2412"/>
  <c r="K2412"/>
  <c r="K2413"/>
  <c r="N2413" s="1"/>
  <c r="O2413" s="1"/>
  <c r="K2414"/>
  <c r="L2415"/>
  <c r="K2415"/>
  <c r="K2416"/>
  <c r="K2417"/>
  <c r="L2418"/>
  <c r="K2418"/>
  <c r="K2419"/>
  <c r="N2419" s="1"/>
  <c r="O2419" s="1"/>
  <c r="K2420"/>
  <c r="K2421"/>
  <c r="K2422"/>
  <c r="L2423"/>
  <c r="K2423"/>
  <c r="L2424"/>
  <c r="K2424"/>
  <c r="K2425"/>
  <c r="K2426"/>
  <c r="N2426" s="1"/>
  <c r="O2426" s="1"/>
  <c r="K2427"/>
  <c r="K2428"/>
  <c r="K2429"/>
  <c r="N2429" s="1"/>
  <c r="O2429" s="1"/>
  <c r="K2430"/>
  <c r="N2430" s="1"/>
  <c r="O2430" s="1"/>
  <c r="K2431"/>
  <c r="N2431" s="1"/>
  <c r="O2431" s="1"/>
  <c r="K2432"/>
  <c r="K2433"/>
  <c r="N2433" s="1"/>
  <c r="O2433" s="1"/>
  <c r="K2434"/>
  <c r="N2434" s="1"/>
  <c r="O2434" s="1"/>
  <c r="K2435"/>
  <c r="N2435" s="1"/>
  <c r="O2435" s="1"/>
  <c r="L2436"/>
  <c r="K2436"/>
  <c r="K2437"/>
  <c r="L2441"/>
  <c r="K2441"/>
  <c r="K2439"/>
  <c r="L2440"/>
  <c r="K2440"/>
  <c r="K2438"/>
  <c r="N2438" s="1"/>
  <c r="O2438" s="1"/>
  <c r="K2442"/>
  <c r="N2442" s="1"/>
  <c r="O2442" s="1"/>
  <c r="L2443"/>
  <c r="K2443"/>
  <c r="K2444"/>
  <c r="N2444" s="1"/>
  <c r="O2444" s="1"/>
  <c r="K2445"/>
  <c r="N2445" s="1"/>
  <c r="O2445" s="1"/>
  <c r="L2447"/>
  <c r="K2446"/>
  <c r="N2446" s="1"/>
  <c r="O2446" s="1"/>
  <c r="K2447"/>
  <c r="K2448"/>
  <c r="N2448" s="1"/>
  <c r="O2448" s="1"/>
  <c r="K2449"/>
  <c r="K2450"/>
  <c r="L2451"/>
  <c r="K2451"/>
  <c r="K2452"/>
  <c r="K2453"/>
  <c r="L2454"/>
  <c r="K2454"/>
  <c r="K2455"/>
  <c r="N2455" s="1"/>
  <c r="O2455" s="1"/>
  <c r="K2456"/>
  <c r="N2456" s="1"/>
  <c r="O2456" s="1"/>
  <c r="K2457"/>
  <c r="N2457" s="1"/>
  <c r="O2457" s="1"/>
  <c r="K2458"/>
  <c r="N2458" s="1"/>
  <c r="O2458" s="1"/>
  <c r="K2459"/>
  <c r="N2459" s="1"/>
  <c r="O2459" s="1"/>
  <c r="L2460"/>
  <c r="K2460"/>
  <c r="L2461"/>
  <c r="K2461"/>
  <c r="K2462"/>
  <c r="N2462" s="1"/>
  <c r="O2462" s="1"/>
  <c r="K2463"/>
  <c r="N2463" s="1"/>
  <c r="O2463" s="1"/>
  <c r="K2464"/>
  <c r="N2464" s="1"/>
  <c r="O2464" s="1"/>
  <c r="K2465"/>
  <c r="N2465" s="1"/>
  <c r="O2465" s="1"/>
  <c r="K2466"/>
  <c r="L2467"/>
  <c r="K2467"/>
  <c r="K2468"/>
  <c r="N2468" s="1"/>
  <c r="O2468" s="1"/>
  <c r="K2469"/>
  <c r="N2469" s="1"/>
  <c r="O2469" s="1"/>
  <c r="K2470"/>
  <c r="N2470" s="1"/>
  <c r="O2470" s="1"/>
  <c r="K2471"/>
  <c r="N2471" s="1"/>
  <c r="O2471" s="1"/>
  <c r="K2472"/>
  <c r="L2473"/>
  <c r="K2473"/>
  <c r="K2474"/>
  <c r="N2474" s="1"/>
  <c r="O2474" s="1"/>
  <c r="L2476"/>
  <c r="L2475"/>
  <c r="K2475"/>
  <c r="K2476"/>
  <c r="K2477"/>
  <c r="N2477" s="1"/>
  <c r="O2477" s="1"/>
  <c r="K2478"/>
  <c r="L2479"/>
  <c r="K2479"/>
  <c r="K2480"/>
  <c r="K2481"/>
  <c r="L2482"/>
  <c r="K2482"/>
  <c r="K2483"/>
  <c r="N2483" s="1"/>
  <c r="O2483" s="1"/>
  <c r="K2484"/>
  <c r="N2484" s="1"/>
  <c r="O2484" s="1"/>
  <c r="K2485"/>
  <c r="N2485" s="1"/>
  <c r="O2485" s="1"/>
  <c r="K2486"/>
  <c r="N2486" s="1"/>
  <c r="O2486" s="1"/>
  <c r="K2487"/>
  <c r="N2487" s="1"/>
  <c r="O2487" s="1"/>
  <c r="L2489"/>
  <c r="K2488"/>
  <c r="K2489"/>
  <c r="K2490"/>
  <c r="K2491"/>
  <c r="K2492"/>
  <c r="L2493"/>
  <c r="K2493"/>
  <c r="K2494"/>
  <c r="L2495"/>
  <c r="L2496"/>
  <c r="K2495"/>
  <c r="K2496"/>
  <c r="K2497"/>
  <c r="L2498"/>
  <c r="K2498"/>
  <c r="L2499"/>
  <c r="K2499"/>
  <c r="L2500"/>
  <c r="K2500"/>
  <c r="K2501"/>
  <c r="L2502"/>
  <c r="K2502"/>
  <c r="K2503"/>
  <c r="N2503" s="1"/>
  <c r="O2503" s="1"/>
  <c r="K2504"/>
  <c r="N2504" s="1"/>
  <c r="O2504" s="1"/>
  <c r="K2505"/>
  <c r="N2505" s="1"/>
  <c r="O2505" s="1"/>
  <c r="K2506"/>
  <c r="N2506" s="1"/>
  <c r="O2506" s="1"/>
  <c r="K2507"/>
  <c r="N2507" s="1"/>
  <c r="O2507" s="1"/>
  <c r="K2508"/>
  <c r="N2508" s="1"/>
  <c r="O2508" s="1"/>
  <c r="K2509"/>
  <c r="N2509" s="1"/>
  <c r="O2509" s="1"/>
  <c r="K2510"/>
  <c r="N2510" s="1"/>
  <c r="O2510" s="1"/>
  <c r="K2511"/>
  <c r="L2512"/>
  <c r="K2512"/>
  <c r="K2513"/>
  <c r="N2513" s="1"/>
  <c r="O2513" s="1"/>
  <c r="K2514"/>
  <c r="N2514" s="1"/>
  <c r="O2514" s="1"/>
  <c r="K2515"/>
  <c r="L2516"/>
  <c r="K2516"/>
  <c r="L2517"/>
  <c r="K2517"/>
  <c r="K2518"/>
  <c r="K2519"/>
  <c r="K2520"/>
  <c r="K2521"/>
  <c r="K2522"/>
  <c r="K2523"/>
  <c r="K2524"/>
  <c r="K2525"/>
  <c r="K2526"/>
  <c r="K2527"/>
  <c r="K2528"/>
  <c r="K2529"/>
  <c r="K2530"/>
  <c r="K2531"/>
  <c r="K2532"/>
  <c r="K2533"/>
  <c r="L2535"/>
  <c r="K2540"/>
  <c r="L2534"/>
  <c r="K2534"/>
  <c r="K2535"/>
  <c r="K2536"/>
  <c r="K2537"/>
  <c r="K2538"/>
  <c r="K2539"/>
  <c r="K2541"/>
  <c r="K2542"/>
  <c r="K2543"/>
  <c r="N2356" l="1"/>
  <c r="O2356" s="1"/>
  <c r="N2359"/>
  <c r="O2359" s="1"/>
  <c r="N2348"/>
  <c r="O2348" s="1"/>
  <c r="N2365"/>
  <c r="O2365" s="1"/>
  <c r="N2347"/>
  <c r="O2347" s="1"/>
  <c r="N2349"/>
  <c r="O2349" s="1"/>
  <c r="N2350"/>
  <c r="O2350" s="1"/>
  <c r="N2351"/>
  <c r="O2351" s="1"/>
  <c r="N2352"/>
  <c r="O2352" s="1"/>
  <c r="N2353"/>
  <c r="O2353" s="1"/>
  <c r="N2354"/>
  <c r="O2354" s="1"/>
  <c r="N2355"/>
  <c r="O2355" s="1"/>
  <c r="N2357"/>
  <c r="O2357" s="1"/>
  <c r="N2358"/>
  <c r="O2358" s="1"/>
  <c r="N2360"/>
  <c r="O2360" s="1"/>
  <c r="N2361"/>
  <c r="O2361" s="1"/>
  <c r="N2362"/>
  <c r="O2362" s="1"/>
  <c r="N2363"/>
  <c r="O2363" s="1"/>
  <c r="N2364"/>
  <c r="O2364" s="1"/>
  <c r="N2366"/>
  <c r="O2366" s="1"/>
  <c r="N2367"/>
  <c r="O2367" s="1"/>
  <c r="N2368"/>
  <c r="O2368" s="1"/>
  <c r="N2369"/>
  <c r="O2369" s="1"/>
  <c r="N2370"/>
  <c r="O2370" s="1"/>
  <c r="N2371"/>
  <c r="O2371" s="1"/>
  <c r="N2372"/>
  <c r="O2372" s="1"/>
  <c r="N2373"/>
  <c r="O2373" s="1"/>
  <c r="N2428"/>
  <c r="O2428" s="1"/>
  <c r="N2414"/>
  <c r="O2414" s="1"/>
  <c r="N2385"/>
  <c r="O2385" s="1"/>
  <c r="N2425"/>
  <c r="O2425" s="1"/>
  <c r="N2422"/>
  <c r="O2422" s="1"/>
  <c r="N2395"/>
  <c r="O2395" s="1"/>
  <c r="N2390"/>
  <c r="O2390" s="1"/>
  <c r="N2441"/>
  <c r="O2441" s="1"/>
  <c r="N2403"/>
  <c r="O2403" s="1"/>
  <c r="N2378"/>
  <c r="O2378" s="1"/>
  <c r="N2410"/>
  <c r="O2410" s="1"/>
  <c r="N2389"/>
  <c r="O2389" s="1"/>
  <c r="N2432"/>
  <c r="O2432" s="1"/>
  <c r="N2416"/>
  <c r="O2416" s="1"/>
  <c r="N2415"/>
  <c r="O2415" s="1"/>
  <c r="N2391"/>
  <c r="O2391" s="1"/>
  <c r="N2412"/>
  <c r="O2412" s="1"/>
  <c r="N2421"/>
  <c r="O2421" s="1"/>
  <c r="N2396"/>
  <c r="O2396" s="1"/>
  <c r="N2452"/>
  <c r="O2452" s="1"/>
  <c r="N2417"/>
  <c r="O2417" s="1"/>
  <c r="N2407"/>
  <c r="O2407" s="1"/>
  <c r="N2392"/>
  <c r="O2392" s="1"/>
  <c r="N2393"/>
  <c r="O2393" s="1"/>
  <c r="N2394"/>
  <c r="O2394" s="1"/>
  <c r="N2397"/>
  <c r="O2397" s="1"/>
  <c r="N2398"/>
  <c r="O2398" s="1"/>
  <c r="N2405"/>
  <c r="O2405" s="1"/>
  <c r="N2406"/>
  <c r="O2406" s="1"/>
  <c r="N2409"/>
  <c r="O2409" s="1"/>
  <c r="N2418"/>
  <c r="O2418" s="1"/>
  <c r="N2420"/>
  <c r="O2420" s="1"/>
  <c r="N2423"/>
  <c r="O2423" s="1"/>
  <c r="N2424"/>
  <c r="O2424" s="1"/>
  <c r="N2427"/>
  <c r="O2427" s="1"/>
  <c r="N2475"/>
  <c r="O2475" s="1"/>
  <c r="N2436"/>
  <c r="O2436" s="1"/>
  <c r="N2437"/>
  <c r="O2437" s="1"/>
  <c r="N2543"/>
  <c r="O2543" s="1"/>
  <c r="N2540"/>
  <c r="O2540" s="1"/>
  <c r="N2530"/>
  <c r="O2530" s="1"/>
  <c r="N2528"/>
  <c r="O2528" s="1"/>
  <c r="N2527"/>
  <c r="O2527" s="1"/>
  <c r="N2526"/>
  <c r="O2526" s="1"/>
  <c r="N2525"/>
  <c r="O2525" s="1"/>
  <c r="N2524"/>
  <c r="O2524" s="1"/>
  <c r="N2523"/>
  <c r="O2523" s="1"/>
  <c r="N2521"/>
  <c r="O2521" s="1"/>
  <c r="N2520"/>
  <c r="O2520" s="1"/>
  <c r="N2518"/>
  <c r="O2518" s="1"/>
  <c r="N2502"/>
  <c r="O2502" s="1"/>
  <c r="N2498"/>
  <c r="O2498" s="1"/>
  <c r="N2480"/>
  <c r="O2480" s="1"/>
  <c r="N2439"/>
  <c r="O2439" s="1"/>
  <c r="N2440"/>
  <c r="O2440" s="1"/>
  <c r="N2443"/>
  <c r="O2443" s="1"/>
  <c r="N2447"/>
  <c r="O2447" s="1"/>
  <c r="N2449"/>
  <c r="O2449" s="1"/>
  <c r="N2450"/>
  <c r="O2450" s="1"/>
  <c r="N2451"/>
  <c r="O2451" s="1"/>
  <c r="N2453"/>
  <c r="O2453" s="1"/>
  <c r="N2454"/>
  <c r="O2454" s="1"/>
  <c r="N2460"/>
  <c r="O2460" s="1"/>
  <c r="N2461"/>
  <c r="O2461" s="1"/>
  <c r="N2466"/>
  <c r="O2466" s="1"/>
  <c r="N2467"/>
  <c r="O2467" s="1"/>
  <c r="N2472"/>
  <c r="O2472" s="1"/>
  <c r="N2473"/>
  <c r="O2473" s="1"/>
  <c r="N2476"/>
  <c r="O2476" s="1"/>
  <c r="N2478"/>
  <c r="O2478" s="1"/>
  <c r="N2479"/>
  <c r="O2479" s="1"/>
  <c r="N2481"/>
  <c r="O2481" s="1"/>
  <c r="N2482"/>
  <c r="O2482" s="1"/>
  <c r="N2542"/>
  <c r="O2542" s="1"/>
  <c r="N2541"/>
  <c r="O2541" s="1"/>
  <c r="N2539"/>
  <c r="O2539" s="1"/>
  <c r="N2538"/>
  <c r="O2538" s="1"/>
  <c r="N2490"/>
  <c r="O2490" s="1"/>
  <c r="N2489"/>
  <c r="O2489" s="1"/>
  <c r="N2488"/>
  <c r="O2488" s="1"/>
  <c r="N2491"/>
  <c r="O2491" s="1"/>
  <c r="N2492"/>
  <c r="O2492" s="1"/>
  <c r="N2493"/>
  <c r="O2493" s="1"/>
  <c r="N2494"/>
  <c r="O2494" s="1"/>
  <c r="N2495"/>
  <c r="O2495" s="1"/>
  <c r="N2496"/>
  <c r="O2496" s="1"/>
  <c r="N2497"/>
  <c r="O2497" s="1"/>
  <c r="N2499"/>
  <c r="O2499" s="1"/>
  <c r="N2500"/>
  <c r="O2500" s="1"/>
  <c r="N2501"/>
  <c r="O2501" s="1"/>
  <c r="N2511"/>
  <c r="O2511" s="1"/>
  <c r="N2512"/>
  <c r="O2512" s="1"/>
  <c r="N2515"/>
  <c r="O2515" s="1"/>
  <c r="N2516"/>
  <c r="O2516" s="1"/>
  <c r="N2517"/>
  <c r="O2517" s="1"/>
  <c r="N2519"/>
  <c r="O2519" s="1"/>
  <c r="N2522"/>
  <c r="O2522" s="1"/>
  <c r="N2529"/>
  <c r="O2529" s="1"/>
  <c r="N2531"/>
  <c r="O2531" s="1"/>
  <c r="N2533"/>
  <c r="O2533" s="1"/>
  <c r="N2532"/>
  <c r="O2532" s="1"/>
  <c r="N2535"/>
  <c r="O2535" s="1"/>
  <c r="N2534"/>
  <c r="O2534" s="1"/>
  <c r="N2536"/>
  <c r="O2536" s="1"/>
  <c r="N2537"/>
  <c r="O2537" s="1"/>
  <c r="L2544" l="1"/>
  <c r="K2544"/>
  <c r="L2545"/>
  <c r="K2545"/>
  <c r="N2546"/>
  <c r="O2546" s="1"/>
  <c r="N2547"/>
  <c r="O2547" s="1"/>
  <c r="N2548"/>
  <c r="O2548" s="1"/>
  <c r="N2544" l="1"/>
  <c r="O2544" s="1"/>
  <c r="N2545"/>
  <c r="O2545" s="1"/>
  <c r="L2549" l="1"/>
  <c r="K2549"/>
  <c r="K2550"/>
  <c r="K2551"/>
  <c r="K2552"/>
  <c r="K2553"/>
  <c r="K2554"/>
  <c r="L2555"/>
  <c r="K2555"/>
  <c r="N2556"/>
  <c r="O2556" s="1"/>
  <c r="K2557"/>
  <c r="N2557" s="1"/>
  <c r="O2557" s="1"/>
  <c r="K2558"/>
  <c r="N2558" s="1"/>
  <c r="O2558" s="1"/>
  <c r="K2559"/>
  <c r="N2559" s="1"/>
  <c r="O2559" s="1"/>
  <c r="K2560"/>
  <c r="N2560" s="1"/>
  <c r="O2560" s="1"/>
  <c r="L2561"/>
  <c r="K2561"/>
  <c r="K2562"/>
  <c r="K2563"/>
  <c r="L2564"/>
  <c r="K2564"/>
  <c r="K2565"/>
  <c r="N2565" s="1"/>
  <c r="O2565" s="1"/>
  <c r="K2566"/>
  <c r="N2566" s="1"/>
  <c r="O2566" s="1"/>
  <c r="K2567"/>
  <c r="N2567" s="1"/>
  <c r="O2567" s="1"/>
  <c r="L2568"/>
  <c r="K2568"/>
  <c r="K2569"/>
  <c r="K2570"/>
  <c r="K2571"/>
  <c r="K2572"/>
  <c r="K2584"/>
  <c r="N2584" s="1"/>
  <c r="O2584" s="1"/>
  <c r="L2588"/>
  <c r="K2588"/>
  <c r="K2573"/>
  <c r="K2574"/>
  <c r="K2575"/>
  <c r="K2576"/>
  <c r="K2577"/>
  <c r="L2578"/>
  <c r="K2578"/>
  <c r="K2579"/>
  <c r="N2579" s="1"/>
  <c r="O2579" s="1"/>
  <c r="L2585"/>
  <c r="K2580"/>
  <c r="N2580" s="1"/>
  <c r="O2580" s="1"/>
  <c r="K2581"/>
  <c r="N2581" s="1"/>
  <c r="O2581" s="1"/>
  <c r="K2582"/>
  <c r="N2582" s="1"/>
  <c r="O2582" s="1"/>
  <c r="K2583"/>
  <c r="N2583" s="1"/>
  <c r="O2583" s="1"/>
  <c r="K2585"/>
  <c r="K2586"/>
  <c r="N2586" s="1"/>
  <c r="O2586" s="1"/>
  <c r="K2587"/>
  <c r="N2587" s="1"/>
  <c r="O2587" s="1"/>
  <c r="K2589"/>
  <c r="K2590"/>
  <c r="K2591"/>
  <c r="K2592"/>
  <c r="L2593"/>
  <c r="K2593"/>
  <c r="K2594"/>
  <c r="K2595"/>
  <c r="K2596"/>
  <c r="K2597"/>
  <c r="K2598"/>
  <c r="L2599"/>
  <c r="K2599"/>
  <c r="K2600"/>
  <c r="N2600" s="1"/>
  <c r="O2600" s="1"/>
  <c r="K2601"/>
  <c r="N2601" s="1"/>
  <c r="O2601" s="1"/>
  <c r="K2602"/>
  <c r="L2603"/>
  <c r="K2603"/>
  <c r="L2604"/>
  <c r="K2604"/>
  <c r="L2605"/>
  <c r="K2605"/>
  <c r="K2606"/>
  <c r="N2606" s="1"/>
  <c r="O2606" s="1"/>
  <c r="K2607"/>
  <c r="N2607" s="1"/>
  <c r="O2607" s="1"/>
  <c r="K2608"/>
  <c r="N2608" s="1"/>
  <c r="O2608" s="1"/>
  <c r="K2609"/>
  <c r="N2609" s="1"/>
  <c r="O2609" s="1"/>
  <c r="K2610"/>
  <c r="N2610" s="1"/>
  <c r="O2610" s="1"/>
  <c r="K2611"/>
  <c r="N2611" s="1"/>
  <c r="O2611" s="1"/>
  <c r="K2612"/>
  <c r="N2612" s="1"/>
  <c r="O2612" s="1"/>
  <c r="K2613"/>
  <c r="N2613" s="1"/>
  <c r="O2613" s="1"/>
  <c r="K2614"/>
  <c r="L2615"/>
  <c r="K2615"/>
  <c r="K2616"/>
  <c r="K2617"/>
  <c r="L2618"/>
  <c r="K2618"/>
  <c r="K2619"/>
  <c r="N2619" s="1"/>
  <c r="O2619" s="1"/>
  <c r="L2620"/>
  <c r="K2620"/>
  <c r="L2621"/>
  <c r="K2621"/>
  <c r="K2622"/>
  <c r="L2623"/>
  <c r="K2623"/>
  <c r="L2624"/>
  <c r="K2624"/>
  <c r="L2625"/>
  <c r="K2625"/>
  <c r="L2626"/>
  <c r="K2626"/>
  <c r="L2627"/>
  <c r="K2627"/>
  <c r="L2628"/>
  <c r="K2628"/>
  <c r="L2629"/>
  <c r="K2629"/>
  <c r="L2630"/>
  <c r="K2630"/>
  <c r="K2631"/>
  <c r="N2631" s="1"/>
  <c r="O2631" s="1"/>
  <c r="K2632"/>
  <c r="N2632" s="1"/>
  <c r="O2632" s="1"/>
  <c r="N2596" l="1"/>
  <c r="O2596" s="1"/>
  <c r="N2597"/>
  <c r="O2597" s="1"/>
  <c r="N2555"/>
  <c r="O2555" s="1"/>
  <c r="N2595"/>
  <c r="O2595" s="1"/>
  <c r="N2630"/>
  <c r="O2630" s="1"/>
  <c r="N2594"/>
  <c r="O2594" s="1"/>
  <c r="N2576"/>
  <c r="O2576" s="1"/>
  <c r="N2575"/>
  <c r="O2575" s="1"/>
  <c r="N2573"/>
  <c r="O2573" s="1"/>
  <c r="N2562"/>
  <c r="O2562" s="1"/>
  <c r="N2591"/>
  <c r="O2591" s="1"/>
  <c r="N2590"/>
  <c r="O2590" s="1"/>
  <c r="N2572"/>
  <c r="O2572" s="1"/>
  <c r="N2571"/>
  <c r="O2571" s="1"/>
  <c r="N2570"/>
  <c r="O2570" s="1"/>
  <c r="N2553"/>
  <c r="O2553" s="1"/>
  <c r="N2552"/>
  <c r="O2552" s="1"/>
  <c r="N2551"/>
  <c r="O2551" s="1"/>
  <c r="N2550"/>
  <c r="O2550" s="1"/>
  <c r="N2549"/>
  <c r="O2549" s="1"/>
  <c r="N2554"/>
  <c r="O2554" s="1"/>
  <c r="N2561"/>
  <c r="O2561" s="1"/>
  <c r="N2563"/>
  <c r="O2563" s="1"/>
  <c r="N2564"/>
  <c r="O2564" s="1"/>
  <c r="N2569"/>
  <c r="O2569" s="1"/>
  <c r="N2568"/>
  <c r="O2568" s="1"/>
  <c r="N2588"/>
  <c r="O2588" s="1"/>
  <c r="N2574"/>
  <c r="O2574" s="1"/>
  <c r="N2577"/>
  <c r="O2577" s="1"/>
  <c r="N2578"/>
  <c r="O2578" s="1"/>
  <c r="N2585"/>
  <c r="O2585" s="1"/>
  <c r="N2589"/>
  <c r="O2589" s="1"/>
  <c r="N2592"/>
  <c r="O2592" s="1"/>
  <c r="N2593"/>
  <c r="O2593" s="1"/>
  <c r="N2598"/>
  <c r="O2598" s="1"/>
  <c r="N2599"/>
  <c r="O2599" s="1"/>
  <c r="N2602"/>
  <c r="O2602" s="1"/>
  <c r="N2603"/>
  <c r="O2603" s="1"/>
  <c r="N2604"/>
  <c r="O2604" s="1"/>
  <c r="N2605"/>
  <c r="O2605" s="1"/>
  <c r="N2614"/>
  <c r="O2614" s="1"/>
  <c r="N2615"/>
  <c r="O2615" s="1"/>
  <c r="N2616"/>
  <c r="O2616" s="1"/>
  <c r="N2617"/>
  <c r="O2617" s="1"/>
  <c r="N2618"/>
  <c r="O2618" s="1"/>
  <c r="N2620"/>
  <c r="O2620" s="1"/>
  <c r="N2622"/>
  <c r="O2622" s="1"/>
  <c r="N2621"/>
  <c r="O2621" s="1"/>
  <c r="N2623"/>
  <c r="O2623" s="1"/>
  <c r="N2624"/>
  <c r="O2624" s="1"/>
  <c r="N2625"/>
  <c r="O2625" s="1"/>
  <c r="N2626"/>
  <c r="O2626" s="1"/>
  <c r="N2627"/>
  <c r="O2627" s="1"/>
  <c r="N2628"/>
  <c r="O2628" s="1"/>
  <c r="N2629"/>
  <c r="O2629" s="1"/>
  <c r="L2633"/>
  <c r="L2634"/>
  <c r="L2636"/>
  <c r="K2633"/>
  <c r="K2634"/>
  <c r="K2635"/>
  <c r="N2635" s="1"/>
  <c r="O2635" s="1"/>
  <c r="K2636"/>
  <c r="K2637"/>
  <c r="N2637" s="1"/>
  <c r="O2637" s="1"/>
  <c r="L2642"/>
  <c r="N2641"/>
  <c r="O2641" s="1"/>
  <c r="L2640"/>
  <c r="N2639"/>
  <c r="O2639" s="1"/>
  <c r="K2642"/>
  <c r="K2640"/>
  <c r="K2638"/>
  <c r="N2638" s="1"/>
  <c r="O2638" s="1"/>
  <c r="L2644"/>
  <c r="L2643"/>
  <c r="K2645"/>
  <c r="N2645" s="1"/>
  <c r="O2645" s="1"/>
  <c r="K2644"/>
  <c r="K2643"/>
  <c r="L2651"/>
  <c r="K2646"/>
  <c r="N2646" s="1"/>
  <c r="O2646" s="1"/>
  <c r="L2650"/>
  <c r="K2652"/>
  <c r="N2652" s="1"/>
  <c r="O2652" s="1"/>
  <c r="K2651"/>
  <c r="K2650"/>
  <c r="K2649"/>
  <c r="N2649" s="1"/>
  <c r="O2649" s="1"/>
  <c r="K2648"/>
  <c r="N2648" s="1"/>
  <c r="O2648" s="1"/>
  <c r="K2647"/>
  <c r="N2647" s="1"/>
  <c r="O2647" s="1"/>
  <c r="L2657"/>
  <c r="L2656"/>
  <c r="N2656" s="1"/>
  <c r="O2656" s="1"/>
  <c r="L2654"/>
  <c r="L2653"/>
  <c r="K2657"/>
  <c r="K2655"/>
  <c r="N2655" s="1"/>
  <c r="O2655" s="1"/>
  <c r="K2654"/>
  <c r="K2653"/>
  <c r="K2658"/>
  <c r="N2658" s="1"/>
  <c r="O2658" s="1"/>
  <c r="L2659"/>
  <c r="K2659"/>
  <c r="L2660"/>
  <c r="K2660"/>
  <c r="L2661"/>
  <c r="K2661"/>
  <c r="K2662"/>
  <c r="N2662" s="1"/>
  <c r="O2662" s="1"/>
  <c r="L2663"/>
  <c r="K2663"/>
  <c r="K2664"/>
  <c r="N2664" s="1"/>
  <c r="O2664" s="1"/>
  <c r="L2665"/>
  <c r="K2665"/>
  <c r="L2669"/>
  <c r="L2668"/>
  <c r="L2667"/>
  <c r="K2672"/>
  <c r="K2673"/>
  <c r="K2675"/>
  <c r="K2674"/>
  <c r="K2670"/>
  <c r="K2669"/>
  <c r="K2668"/>
  <c r="K2667"/>
  <c r="K2666"/>
  <c r="N2666" s="1"/>
  <c r="O2666" s="1"/>
  <c r="K2671"/>
  <c r="L2674"/>
  <c r="L2672"/>
  <c r="L2697"/>
  <c r="L2690"/>
  <c r="L2688"/>
  <c r="L2685"/>
  <c r="L2680"/>
  <c r="K2697"/>
  <c r="K2696"/>
  <c r="K2695"/>
  <c r="N2695" s="1"/>
  <c r="O2695" s="1"/>
  <c r="K2694"/>
  <c r="N2694" s="1"/>
  <c r="O2694" s="1"/>
  <c r="K2693"/>
  <c r="N2693" s="1"/>
  <c r="O2693" s="1"/>
  <c r="K2692"/>
  <c r="K2691"/>
  <c r="N2691" s="1"/>
  <c r="O2691" s="1"/>
  <c r="K2690"/>
  <c r="K2689"/>
  <c r="K2688"/>
  <c r="K2687"/>
  <c r="K2686"/>
  <c r="K2685"/>
  <c r="K2684"/>
  <c r="K2683"/>
  <c r="K2682"/>
  <c r="K2681"/>
  <c r="K2680"/>
  <c r="K2679"/>
  <c r="K2678"/>
  <c r="K2677"/>
  <c r="K2676"/>
  <c r="N2660" l="1"/>
  <c r="O2660" s="1"/>
  <c r="N2651"/>
  <c r="O2651" s="1"/>
  <c r="N2687"/>
  <c r="O2687" s="1"/>
  <c r="N2670"/>
  <c r="O2670" s="1"/>
  <c r="N2675"/>
  <c r="O2675" s="1"/>
  <c r="N2678"/>
  <c r="O2678" s="1"/>
  <c r="N2674"/>
  <c r="O2674" s="1"/>
  <c r="N2661"/>
  <c r="O2661" s="1"/>
  <c r="N2659"/>
  <c r="O2659" s="1"/>
  <c r="N2667"/>
  <c r="O2667" s="1"/>
  <c r="N2669"/>
  <c r="O2669" s="1"/>
  <c r="N2653"/>
  <c r="O2653" s="1"/>
  <c r="N2643"/>
  <c r="O2643" s="1"/>
  <c r="N2640"/>
  <c r="O2640" s="1"/>
  <c r="N2642"/>
  <c r="O2642" s="1"/>
  <c r="N2634"/>
  <c r="O2634" s="1"/>
  <c r="N2671"/>
  <c r="O2671" s="1"/>
  <c r="N2668"/>
  <c r="O2668" s="1"/>
  <c r="N2665"/>
  <c r="O2665" s="1"/>
  <c r="N2663"/>
  <c r="O2663" s="1"/>
  <c r="N2654"/>
  <c r="O2654" s="1"/>
  <c r="N2657"/>
  <c r="O2657" s="1"/>
  <c r="N2650"/>
  <c r="O2650" s="1"/>
  <c r="N2644"/>
  <c r="O2644" s="1"/>
  <c r="N2636"/>
  <c r="O2636" s="1"/>
  <c r="N2633"/>
  <c r="O2633" s="1"/>
  <c r="N2685"/>
  <c r="O2685" s="1"/>
  <c r="N2673"/>
  <c r="O2673" s="1"/>
  <c r="N2672"/>
  <c r="O2672" s="1"/>
  <c r="N2680"/>
  <c r="O2680" s="1"/>
  <c r="N2688"/>
  <c r="O2688" s="1"/>
  <c r="N2697"/>
  <c r="O2697" s="1"/>
  <c r="N2677"/>
  <c r="O2677" s="1"/>
  <c r="N2679"/>
  <c r="O2679" s="1"/>
  <c r="N2681"/>
  <c r="O2681" s="1"/>
  <c r="N2683"/>
  <c r="O2683" s="1"/>
  <c r="N2686"/>
  <c r="O2686" s="1"/>
  <c r="N2689"/>
  <c r="O2689" s="1"/>
  <c r="N2692"/>
  <c r="O2692" s="1"/>
  <c r="N2696"/>
  <c r="O2696" s="1"/>
  <c r="N2690"/>
  <c r="O2690" s="1"/>
  <c r="N2676"/>
  <c r="O2676" s="1"/>
  <c r="N2682"/>
  <c r="O2682" s="1"/>
  <c r="N2684"/>
  <c r="O2684" s="1"/>
  <c r="L2773"/>
  <c r="L2770"/>
  <c r="L2766"/>
  <c r="L2765"/>
  <c r="L2764"/>
  <c r="L2763"/>
  <c r="L2762"/>
  <c r="L2752"/>
  <c r="L2739"/>
  <c r="L2738"/>
  <c r="L2735"/>
  <c r="L2730"/>
  <c r="L2723"/>
  <c r="L2722"/>
  <c r="L2717"/>
  <c r="L2715"/>
  <c r="L2714"/>
  <c r="L2713"/>
  <c r="L2710"/>
  <c r="L2709"/>
  <c r="L2708"/>
  <c r="L2707"/>
  <c r="L2705"/>
  <c r="L2704"/>
  <c r="L2703"/>
  <c r="L2702"/>
  <c r="L2701"/>
  <c r="L2700"/>
  <c r="K2774"/>
  <c r="K2773"/>
  <c r="K2772"/>
  <c r="K2771"/>
  <c r="K2770"/>
  <c r="K2769"/>
  <c r="K2768"/>
  <c r="K2767"/>
  <c r="K2766"/>
  <c r="K2765"/>
  <c r="K2764"/>
  <c r="K2763"/>
  <c r="K2762"/>
  <c r="K2761"/>
  <c r="K2760"/>
  <c r="K2759"/>
  <c r="K2758"/>
  <c r="K2757"/>
  <c r="K2756"/>
  <c r="K2755"/>
  <c r="K2754"/>
  <c r="K2753"/>
  <c r="K2752"/>
  <c r="K2751"/>
  <c r="K2750"/>
  <c r="K2749"/>
  <c r="K2748"/>
  <c r="K2747"/>
  <c r="K2746"/>
  <c r="K2745"/>
  <c r="K2744"/>
  <c r="K2743"/>
  <c r="K2742"/>
  <c r="K2741"/>
  <c r="K2740"/>
  <c r="K2739"/>
  <c r="K2738"/>
  <c r="K2737"/>
  <c r="N2737" s="1"/>
  <c r="O2737" s="1"/>
  <c r="K2736"/>
  <c r="N2736" s="1"/>
  <c r="O2736" s="1"/>
  <c r="K2735"/>
  <c r="K2734"/>
  <c r="N2734" s="1"/>
  <c r="O2734" s="1"/>
  <c r="K2733"/>
  <c r="N2733" s="1"/>
  <c r="O2733" s="1"/>
  <c r="K2732"/>
  <c r="N2732" s="1"/>
  <c r="O2732" s="1"/>
  <c r="K2731"/>
  <c r="N2731" s="1"/>
  <c r="O2731" s="1"/>
  <c r="K2730"/>
  <c r="K2729"/>
  <c r="K2728"/>
  <c r="K2727"/>
  <c r="K2726"/>
  <c r="K2725"/>
  <c r="K2724"/>
  <c r="K2723"/>
  <c r="K2722"/>
  <c r="K2721"/>
  <c r="K2720"/>
  <c r="K2719"/>
  <c r="K2718"/>
  <c r="K2717"/>
  <c r="K2716"/>
  <c r="K2715"/>
  <c r="K2714"/>
  <c r="K2713"/>
  <c r="K2712"/>
  <c r="K2711"/>
  <c r="K2710"/>
  <c r="K2709"/>
  <c r="K2708"/>
  <c r="K2707"/>
  <c r="K2706"/>
  <c r="K2705"/>
  <c r="K2704"/>
  <c r="K2703"/>
  <c r="K2702"/>
  <c r="K2701"/>
  <c r="K2700"/>
  <c r="K2699"/>
  <c r="K2698"/>
  <c r="N2758" l="1"/>
  <c r="O2758" s="1"/>
  <c r="N2774"/>
  <c r="O2774" s="1"/>
  <c r="N2721"/>
  <c r="O2721" s="1"/>
  <c r="N2741"/>
  <c r="O2741" s="1"/>
  <c r="N2745"/>
  <c r="O2745" s="1"/>
  <c r="N2749"/>
  <c r="O2749" s="1"/>
  <c r="N2754"/>
  <c r="O2754" s="1"/>
  <c r="N2716"/>
  <c r="O2716" s="1"/>
  <c r="N2720"/>
  <c r="O2720" s="1"/>
  <c r="N2725"/>
  <c r="O2725" s="1"/>
  <c r="N2729"/>
  <c r="O2729" s="1"/>
  <c r="N2753"/>
  <c r="O2753" s="1"/>
  <c r="N2757"/>
  <c r="O2757" s="1"/>
  <c r="N2761"/>
  <c r="O2761" s="1"/>
  <c r="N2769"/>
  <c r="O2769" s="1"/>
  <c r="N2740"/>
  <c r="O2740" s="1"/>
  <c r="N2744"/>
  <c r="O2744" s="1"/>
  <c r="N2748"/>
  <c r="O2748" s="1"/>
  <c r="N2756"/>
  <c r="O2756" s="1"/>
  <c r="N2772"/>
  <c r="O2772" s="1"/>
  <c r="N2699"/>
  <c r="O2699" s="1"/>
  <c r="N2711"/>
  <c r="O2711" s="1"/>
  <c r="N2719"/>
  <c r="O2719" s="1"/>
  <c r="N2727"/>
  <c r="O2727" s="1"/>
  <c r="N2743"/>
  <c r="O2743" s="1"/>
  <c r="N2747"/>
  <c r="O2747" s="1"/>
  <c r="N2751"/>
  <c r="O2751" s="1"/>
  <c r="N2755"/>
  <c r="O2755" s="1"/>
  <c r="N2759"/>
  <c r="O2759" s="1"/>
  <c r="N2767"/>
  <c r="O2767" s="1"/>
  <c r="N2771"/>
  <c r="O2771" s="1"/>
  <c r="N2728"/>
  <c r="O2728" s="1"/>
  <c r="N2760"/>
  <c r="O2760" s="1"/>
  <c r="N2768"/>
  <c r="O2768" s="1"/>
  <c r="N2718"/>
  <c r="O2718" s="1"/>
  <c r="N2742"/>
  <c r="O2742" s="1"/>
  <c r="N2746"/>
  <c r="O2746" s="1"/>
  <c r="N2750"/>
  <c r="O2750" s="1"/>
  <c r="N2698"/>
  <c r="O2698" s="1"/>
  <c r="N2706"/>
  <c r="O2706" s="1"/>
  <c r="N2712"/>
  <c r="O2712" s="1"/>
  <c r="N2724"/>
  <c r="O2724" s="1"/>
  <c r="N2726"/>
  <c r="O2726" s="1"/>
  <c r="N2700"/>
  <c r="O2700" s="1"/>
  <c r="N2702"/>
  <c r="O2702" s="1"/>
  <c r="N2704"/>
  <c r="O2704" s="1"/>
  <c r="N2707"/>
  <c r="O2707" s="1"/>
  <c r="N2709"/>
  <c r="O2709" s="1"/>
  <c r="N2713"/>
  <c r="O2713" s="1"/>
  <c r="N2715"/>
  <c r="O2715" s="1"/>
  <c r="N2722"/>
  <c r="O2722" s="1"/>
  <c r="N2730"/>
  <c r="O2730" s="1"/>
  <c r="N2738"/>
  <c r="O2738" s="1"/>
  <c r="N2752"/>
  <c r="O2752" s="1"/>
  <c r="N2763"/>
  <c r="O2763" s="1"/>
  <c r="N2765"/>
  <c r="O2765" s="1"/>
  <c r="N2770"/>
  <c r="O2770" s="1"/>
  <c r="N2701"/>
  <c r="O2701" s="1"/>
  <c r="N2703"/>
  <c r="O2703" s="1"/>
  <c r="N2705"/>
  <c r="O2705" s="1"/>
  <c r="N2708"/>
  <c r="O2708" s="1"/>
  <c r="N2710"/>
  <c r="O2710" s="1"/>
  <c r="N2714"/>
  <c r="O2714" s="1"/>
  <c r="N2717"/>
  <c r="O2717" s="1"/>
  <c r="N2723"/>
  <c r="O2723" s="1"/>
  <c r="N2735"/>
  <c r="O2735" s="1"/>
  <c r="N2739"/>
  <c r="O2739" s="1"/>
  <c r="N2762"/>
  <c r="O2762" s="1"/>
  <c r="N2764"/>
  <c r="O2764" s="1"/>
  <c r="N2766"/>
  <c r="O2766" s="1"/>
  <c r="N2773"/>
  <c r="O2773" s="1"/>
  <c r="L2921"/>
  <c r="K2921"/>
  <c r="K2920"/>
  <c r="K2919"/>
  <c r="L2918"/>
  <c r="K2918"/>
  <c r="K2917"/>
  <c r="L2916"/>
  <c r="K2916"/>
  <c r="L2915"/>
  <c r="K2915"/>
  <c r="K2914"/>
  <c r="K2913"/>
  <c r="K2912"/>
  <c r="L2911"/>
  <c r="K2911"/>
  <c r="L2910"/>
  <c r="K2910"/>
  <c r="L2909"/>
  <c r="K2909"/>
  <c r="K2908"/>
  <c r="N2908" s="1"/>
  <c r="O2908" s="1"/>
  <c r="L2907"/>
  <c r="K2907"/>
  <c r="K2906"/>
  <c r="N2906" s="1"/>
  <c r="O2906" s="1"/>
  <c r="L2905"/>
  <c r="K2905"/>
  <c r="L2904"/>
  <c r="K2904"/>
  <c r="K2903"/>
  <c r="N2903" s="1"/>
  <c r="O2903" s="1"/>
  <c r="L2902"/>
  <c r="K2902"/>
  <c r="K2901"/>
  <c r="N2901" s="1"/>
  <c r="O2901" s="1"/>
  <c r="L2900"/>
  <c r="K2900"/>
  <c r="L2899"/>
  <c r="K2899"/>
  <c r="L2898"/>
  <c r="K2898"/>
  <c r="L2897"/>
  <c r="K2897"/>
  <c r="K2896"/>
  <c r="N2896" s="1"/>
  <c r="O2896" s="1"/>
  <c r="L2895"/>
  <c r="K2895"/>
  <c r="L2894"/>
  <c r="K2894"/>
  <c r="K2893"/>
  <c r="N2893" s="1"/>
  <c r="O2893" s="1"/>
  <c r="K2892"/>
  <c r="N2892" s="1"/>
  <c r="O2892" s="1"/>
  <c r="L2891"/>
  <c r="K2891"/>
  <c r="K2890"/>
  <c r="N2890" s="1"/>
  <c r="O2890" s="1"/>
  <c r="K2889"/>
  <c r="N2889" s="1"/>
  <c r="O2889" s="1"/>
  <c r="L2888"/>
  <c r="K2888"/>
  <c r="K2887"/>
  <c r="N2887" s="1"/>
  <c r="O2887" s="1"/>
  <c r="K2886"/>
  <c r="N2886" s="1"/>
  <c r="O2886" s="1"/>
  <c r="L2885"/>
  <c r="K2885"/>
  <c r="K2884"/>
  <c r="N2884" s="1"/>
  <c r="O2884" s="1"/>
  <c r="K2883"/>
  <c r="N2883" s="1"/>
  <c r="O2883" s="1"/>
  <c r="K2882"/>
  <c r="N2882" s="1"/>
  <c r="O2882" s="1"/>
  <c r="K2881"/>
  <c r="N2881" s="1"/>
  <c r="O2881" s="1"/>
  <c r="L2880"/>
  <c r="K2880"/>
  <c r="L2879"/>
  <c r="K2879"/>
  <c r="L2878"/>
  <c r="K2878"/>
  <c r="K2877"/>
  <c r="N2877" s="1"/>
  <c r="O2877" s="1"/>
  <c r="L2876"/>
  <c r="K2876"/>
  <c r="L2875"/>
  <c r="K2875"/>
  <c r="K2874"/>
  <c r="N2874" s="1"/>
  <c r="O2874" s="1"/>
  <c r="K2873"/>
  <c r="N2873" s="1"/>
  <c r="O2873" s="1"/>
  <c r="K2872"/>
  <c r="N2872" s="1"/>
  <c r="O2872" s="1"/>
  <c r="K2871"/>
  <c r="N2871" s="1"/>
  <c r="O2871" s="1"/>
  <c r="K2870"/>
  <c r="N2870" s="1"/>
  <c r="O2870" s="1"/>
  <c r="K2869"/>
  <c r="N2869" s="1"/>
  <c r="O2869" s="1"/>
  <c r="K2868"/>
  <c r="N2868" s="1"/>
  <c r="O2868" s="1"/>
  <c r="L2867"/>
  <c r="K2867"/>
  <c r="K2866"/>
  <c r="N2866" s="1"/>
  <c r="O2866" s="1"/>
  <c r="L2865"/>
  <c r="K2865"/>
  <c r="K2864"/>
  <c r="N2864" s="1"/>
  <c r="O2864" s="1"/>
  <c r="L2863"/>
  <c r="K2863"/>
  <c r="L2862"/>
  <c r="K2862"/>
  <c r="K2861"/>
  <c r="N2861" s="1"/>
  <c r="O2861" s="1"/>
  <c r="K2860"/>
  <c r="N2860" s="1"/>
  <c r="O2860" s="1"/>
  <c r="K2859"/>
  <c r="N2859" s="1"/>
  <c r="O2859" s="1"/>
  <c r="K2858"/>
  <c r="N2858" s="1"/>
  <c r="O2858" s="1"/>
  <c r="L2857"/>
  <c r="K2857"/>
  <c r="L2856"/>
  <c r="K2856"/>
  <c r="K2855"/>
  <c r="N2855" s="1"/>
  <c r="O2855" s="1"/>
  <c r="K2854"/>
  <c r="N2854" s="1"/>
  <c r="O2854" s="1"/>
  <c r="K2853"/>
  <c r="N2853" s="1"/>
  <c r="O2853" s="1"/>
  <c r="L2852"/>
  <c r="K2852"/>
  <c r="L2851"/>
  <c r="K2851"/>
  <c r="L2850"/>
  <c r="K2850"/>
  <c r="K2849"/>
  <c r="N2849" s="1"/>
  <c r="O2849" s="1"/>
  <c r="L2848"/>
  <c r="K2848"/>
  <c r="K2847"/>
  <c r="N2847" s="1"/>
  <c r="O2847" s="1"/>
  <c r="K2846"/>
  <c r="N2846" s="1"/>
  <c r="O2846" s="1"/>
  <c r="L2845"/>
  <c r="K2845"/>
  <c r="K2844"/>
  <c r="N2844" s="1"/>
  <c r="O2844" s="1"/>
  <c r="L2843"/>
  <c r="K2843"/>
  <c r="L2842"/>
  <c r="K2842"/>
  <c r="L2841"/>
  <c r="K2841"/>
  <c r="K2840"/>
  <c r="L2839"/>
  <c r="K2839"/>
  <c r="K2838"/>
  <c r="N2838" s="1"/>
  <c r="O2838" s="1"/>
  <c r="L2837"/>
  <c r="K2837"/>
  <c r="K2836"/>
  <c r="N2836" s="1"/>
  <c r="O2836" s="1"/>
  <c r="K2835"/>
  <c r="N2835" s="1"/>
  <c r="O2835" s="1"/>
  <c r="K2834"/>
  <c r="N2834" s="1"/>
  <c r="O2834" s="1"/>
  <c r="K2833"/>
  <c r="N2833" s="1"/>
  <c r="O2833" s="1"/>
  <c r="K2832"/>
  <c r="N2832" s="1"/>
  <c r="O2832" s="1"/>
  <c r="K2831"/>
  <c r="N2831" s="1"/>
  <c r="O2831" s="1"/>
  <c r="L2830"/>
  <c r="K2830"/>
  <c r="K2829"/>
  <c r="N2829" s="1"/>
  <c r="O2829" s="1"/>
  <c r="K2828"/>
  <c r="N2828" s="1"/>
  <c r="O2828" s="1"/>
  <c r="L2827"/>
  <c r="K2827"/>
  <c r="K2826"/>
  <c r="N2826" s="1"/>
  <c r="O2826" s="1"/>
  <c r="L2825"/>
  <c r="K2825"/>
  <c r="K2824"/>
  <c r="N2824" s="1"/>
  <c r="O2824" s="1"/>
  <c r="L2823"/>
  <c r="K2823"/>
  <c r="L2822"/>
  <c r="K2822"/>
  <c r="L2821"/>
  <c r="K2821"/>
  <c r="K2820"/>
  <c r="N2820" s="1"/>
  <c r="O2820" s="1"/>
  <c r="L2819"/>
  <c r="K2819"/>
  <c r="K2818"/>
  <c r="N2818" s="1"/>
  <c r="O2818" s="1"/>
  <c r="K2817"/>
  <c r="N2817" s="1"/>
  <c r="O2817" s="1"/>
  <c r="K2816"/>
  <c r="N2816" s="1"/>
  <c r="O2816" s="1"/>
  <c r="K2815"/>
  <c r="N2815" s="1"/>
  <c r="O2815" s="1"/>
  <c r="K2814"/>
  <c r="N2814" s="1"/>
  <c r="O2814" s="1"/>
  <c r="K2813"/>
  <c r="N2813" s="1"/>
  <c r="O2813" s="1"/>
  <c r="L2812"/>
  <c r="K2812"/>
  <c r="L2811"/>
  <c r="K2811"/>
  <c r="K2810"/>
  <c r="N2810" s="1"/>
  <c r="O2810" s="1"/>
  <c r="L2809"/>
  <c r="K2809"/>
  <c r="L2808"/>
  <c r="K2808"/>
  <c r="L2807"/>
  <c r="K2807"/>
  <c r="L2806"/>
  <c r="K2806"/>
  <c r="K2805"/>
  <c r="N2805" s="1"/>
  <c r="O2805" s="1"/>
  <c r="L2804"/>
  <c r="K2804"/>
  <c r="L2803"/>
  <c r="K2803"/>
  <c r="L2802"/>
  <c r="K2802"/>
  <c r="K2801"/>
  <c r="N2801" s="1"/>
  <c r="O2801" s="1"/>
  <c r="L2800"/>
  <c r="K2800"/>
  <c r="L2799"/>
  <c r="K2799"/>
  <c r="L2798"/>
  <c r="K2798"/>
  <c r="K2797"/>
  <c r="N2797" s="1"/>
  <c r="O2797" s="1"/>
  <c r="L2796"/>
  <c r="K2796"/>
  <c r="L2795"/>
  <c r="K2795"/>
  <c r="K2794"/>
  <c r="N2794" s="1"/>
  <c r="O2794" s="1"/>
  <c r="L2793"/>
  <c r="K2793"/>
  <c r="L2792"/>
  <c r="K2792"/>
  <c r="L2791"/>
  <c r="K2791"/>
  <c r="L2790"/>
  <c r="K2790"/>
  <c r="L2789"/>
  <c r="K2789"/>
  <c r="L2788"/>
  <c r="K2788"/>
  <c r="K2787"/>
  <c r="N2787" s="1"/>
  <c r="O2787" s="1"/>
  <c r="K2786"/>
  <c r="N2786" s="1"/>
  <c r="O2786" s="1"/>
  <c r="K2785"/>
  <c r="N2785" s="1"/>
  <c r="O2785" s="1"/>
  <c r="L2784"/>
  <c r="K2784"/>
  <c r="K2783"/>
  <c r="N2783" s="1"/>
  <c r="O2783" s="1"/>
  <c r="L2782"/>
  <c r="K2782"/>
  <c r="L2781"/>
  <c r="K2781"/>
  <c r="L2780"/>
  <c r="K2780"/>
  <c r="K2779"/>
  <c r="N2779" s="1"/>
  <c r="O2779" s="1"/>
  <c r="K2778"/>
  <c r="N2778" s="1"/>
  <c r="O2778" s="1"/>
  <c r="K2777"/>
  <c r="N2777" s="1"/>
  <c r="O2777" s="1"/>
  <c r="L2776"/>
  <c r="K2776"/>
  <c r="K2775"/>
  <c r="N2775" s="1"/>
  <c r="O2775" s="1"/>
  <c r="N2845" l="1"/>
  <c r="O2845" s="1"/>
  <c r="N2862"/>
  <c r="O2862" s="1"/>
  <c r="N2891"/>
  <c r="O2891" s="1"/>
  <c r="N2899"/>
  <c r="O2899" s="1"/>
  <c r="N2907"/>
  <c r="O2907" s="1"/>
  <c r="N2911"/>
  <c r="O2911" s="1"/>
  <c r="N2792"/>
  <c r="O2792" s="1"/>
  <c r="N2776"/>
  <c r="O2776" s="1"/>
  <c r="N2807"/>
  <c r="O2807" s="1"/>
  <c r="N2788"/>
  <c r="O2788" s="1"/>
  <c r="N2790"/>
  <c r="O2790" s="1"/>
  <c r="N2793"/>
  <c r="O2793" s="1"/>
  <c r="N2848"/>
  <c r="O2848" s="1"/>
  <c r="N2920"/>
  <c r="O2920" s="1"/>
  <c r="N2800"/>
  <c r="O2800" s="1"/>
  <c r="N2857"/>
  <c r="O2857" s="1"/>
  <c r="N2856"/>
  <c r="O2856" s="1"/>
  <c r="N2780"/>
  <c r="O2780" s="1"/>
  <c r="N2821"/>
  <c r="O2821" s="1"/>
  <c r="N2823"/>
  <c r="O2823" s="1"/>
  <c r="N2863"/>
  <c r="O2863" s="1"/>
  <c r="N2900"/>
  <c r="O2900" s="1"/>
  <c r="N2902"/>
  <c r="O2902" s="1"/>
  <c r="N2904"/>
  <c r="O2904" s="1"/>
  <c r="N2910"/>
  <c r="O2910" s="1"/>
  <c r="N2811"/>
  <c r="O2811" s="1"/>
  <c r="N2782"/>
  <c r="O2782" s="1"/>
  <c r="N2784"/>
  <c r="O2784" s="1"/>
  <c r="N2799"/>
  <c r="O2799" s="1"/>
  <c r="N2804"/>
  <c r="O2804" s="1"/>
  <c r="N2806"/>
  <c r="O2806" s="1"/>
  <c r="N2809"/>
  <c r="O2809" s="1"/>
  <c r="N2822"/>
  <c r="O2822" s="1"/>
  <c r="N2830"/>
  <c r="O2830" s="1"/>
  <c r="N2837"/>
  <c r="O2837" s="1"/>
  <c r="N2839"/>
  <c r="O2839" s="1"/>
  <c r="N2842"/>
  <c r="O2842" s="1"/>
  <c r="N2851"/>
  <c r="O2851" s="1"/>
  <c r="N2865"/>
  <c r="O2865" s="1"/>
  <c r="N2867"/>
  <c r="O2867" s="1"/>
  <c r="N2876"/>
  <c r="O2876" s="1"/>
  <c r="N2878"/>
  <c r="O2878" s="1"/>
  <c r="N2888"/>
  <c r="O2888" s="1"/>
  <c r="N2895"/>
  <c r="O2895" s="1"/>
  <c r="N2897"/>
  <c r="O2897" s="1"/>
  <c r="N2909"/>
  <c r="O2909" s="1"/>
  <c r="N2913"/>
  <c r="O2913" s="1"/>
  <c r="N2916"/>
  <c r="O2916" s="1"/>
  <c r="N2918"/>
  <c r="O2918" s="1"/>
  <c r="N2791"/>
  <c r="O2791" s="1"/>
  <c r="N2795"/>
  <c r="O2795" s="1"/>
  <c r="N2802"/>
  <c r="O2802" s="1"/>
  <c r="N2812"/>
  <c r="O2812" s="1"/>
  <c r="N2819"/>
  <c r="O2819" s="1"/>
  <c r="N2825"/>
  <c r="O2825" s="1"/>
  <c r="N2827"/>
  <c r="O2827" s="1"/>
  <c r="N2840"/>
  <c r="O2840" s="1"/>
  <c r="N2843"/>
  <c r="O2843" s="1"/>
  <c r="N2850"/>
  <c r="O2850" s="1"/>
  <c r="N2852"/>
  <c r="O2852" s="1"/>
  <c r="N2879"/>
  <c r="O2879" s="1"/>
  <c r="N2885"/>
  <c r="O2885" s="1"/>
  <c r="N2898"/>
  <c r="O2898" s="1"/>
  <c r="N2912"/>
  <c r="O2912" s="1"/>
  <c r="N2914"/>
  <c r="O2914" s="1"/>
  <c r="N2921"/>
  <c r="O2921" s="1"/>
  <c r="N2781"/>
  <c r="O2781" s="1"/>
  <c r="N2789"/>
  <c r="O2789" s="1"/>
  <c r="N2796"/>
  <c r="O2796" s="1"/>
  <c r="N2798"/>
  <c r="O2798" s="1"/>
  <c r="N2803"/>
  <c r="O2803" s="1"/>
  <c r="N2808"/>
  <c r="O2808" s="1"/>
  <c r="N2841"/>
  <c r="O2841" s="1"/>
  <c r="N2875"/>
  <c r="O2875" s="1"/>
  <c r="N2880"/>
  <c r="O2880" s="1"/>
  <c r="N2894"/>
  <c r="O2894" s="1"/>
  <c r="N2905"/>
  <c r="O2905" s="1"/>
  <c r="N2915"/>
  <c r="O2915" s="1"/>
  <c r="N2917"/>
  <c r="O2917" s="1"/>
  <c r="N2919"/>
  <c r="O2919" s="1"/>
</calcChain>
</file>

<file path=xl/sharedStrings.xml><?xml version="1.0" encoding="utf-8"?>
<sst xmlns="http://schemas.openxmlformats.org/spreadsheetml/2006/main" count="8754" uniqueCount="518">
  <si>
    <t>DATE</t>
  </si>
  <si>
    <t>SCRIPT</t>
  </si>
  <si>
    <t>RECO</t>
  </si>
  <si>
    <t>RATE</t>
  </si>
  <si>
    <t>BOOKED AT 1</t>
  </si>
  <si>
    <t>BOOKED AT 2</t>
  </si>
  <si>
    <t>BOOKED AT 3</t>
  </si>
  <si>
    <t>TOTAL POINTS</t>
  </si>
  <si>
    <t>BUY</t>
  </si>
  <si>
    <t>BHARATFORG</t>
  </si>
  <si>
    <t>HAVELLS</t>
  </si>
  <si>
    <t>BHARATFIN</t>
  </si>
  <si>
    <t>DIVISLAB</t>
  </si>
  <si>
    <t>HCLTECH</t>
  </si>
  <si>
    <t>ARVIND</t>
  </si>
  <si>
    <t>TVSMOTOR</t>
  </si>
  <si>
    <t>ADANIPORTS</t>
  </si>
  <si>
    <t>AXISBANK</t>
  </si>
  <si>
    <t>CIPLA</t>
  </si>
  <si>
    <t>ASIANPAINTS</t>
  </si>
  <si>
    <t>INFY</t>
  </si>
  <si>
    <t>SBIN</t>
  </si>
  <si>
    <t>DLF</t>
  </si>
  <si>
    <t>RELINFRA</t>
  </si>
  <si>
    <t>TATAMOTORS</t>
  </si>
  <si>
    <t>BHEL</t>
  </si>
  <si>
    <t>TATASTEEL</t>
  </si>
  <si>
    <t>COALINDIA</t>
  </si>
  <si>
    <t>BHARTIARTL</t>
  </si>
  <si>
    <t>ONGC</t>
  </si>
  <si>
    <t>ICICIBANK</t>
  </si>
  <si>
    <t>IRB</t>
  </si>
  <si>
    <t>AUROPHARMA</t>
  </si>
  <si>
    <t>RELCAPTIAL</t>
  </si>
  <si>
    <t>HINDALCO</t>
  </si>
  <si>
    <t>LICHSGFIN</t>
  </si>
  <si>
    <t>IOC</t>
  </si>
  <si>
    <t>TCS</t>
  </si>
  <si>
    <t>MARUTI</t>
  </si>
  <si>
    <t>RELIANCE</t>
  </si>
  <si>
    <t>IDEA</t>
  </si>
  <si>
    <t>TATAMOTRS</t>
  </si>
  <si>
    <t>ARIND</t>
  </si>
  <si>
    <t>HDFCBANK</t>
  </si>
  <si>
    <t>TATASEEL</t>
  </si>
  <si>
    <t>CALL/PUT</t>
  </si>
  <si>
    <t>PUT</t>
  </si>
  <si>
    <t>CALL</t>
  </si>
  <si>
    <t xml:space="preserve">CALL </t>
  </si>
  <si>
    <t>STRICK PRICE</t>
  </si>
  <si>
    <t>LOT</t>
  </si>
  <si>
    <t>P1</t>
  </si>
  <si>
    <t>P2</t>
  </si>
  <si>
    <t>P3</t>
  </si>
  <si>
    <t>SUNTV</t>
  </si>
  <si>
    <t>BANK OF BARODA</t>
  </si>
  <si>
    <t>BANKNIFTY</t>
  </si>
  <si>
    <t>BANK OF INDIA</t>
  </si>
  <si>
    <t>VOLTAS</t>
  </si>
  <si>
    <t>UNION BANK</t>
  </si>
  <si>
    <t>VEDL</t>
  </si>
  <si>
    <t>UNIONBANK</t>
  </si>
  <si>
    <t>PFC</t>
  </si>
  <si>
    <t>HINDPETRO</t>
  </si>
  <si>
    <t>WOCKPHARMA</t>
  </si>
  <si>
    <t>JUSTDIAL</t>
  </si>
  <si>
    <t>JETAIRWAYS</t>
  </si>
  <si>
    <t>UPL</t>
  </si>
  <si>
    <t>CEATLTD</t>
  </si>
  <si>
    <t>MOTHERSUMI</t>
  </si>
  <si>
    <t>RECL</t>
  </si>
  <si>
    <t>JSWSTEEL</t>
  </si>
  <si>
    <t>BPCL</t>
  </si>
  <si>
    <t>LT</t>
  </si>
  <si>
    <t>HUL</t>
  </si>
  <si>
    <t>APOLLOHOSP</t>
  </si>
  <si>
    <t>NIFTY</t>
  </si>
  <si>
    <t>GAIL</t>
  </si>
  <si>
    <t>GRANUELS</t>
  </si>
  <si>
    <t>INDIACEM</t>
  </si>
  <si>
    <t>HEXAWARE</t>
  </si>
  <si>
    <t>ORIENTAL BANK</t>
  </si>
  <si>
    <t>PNB</t>
  </si>
  <si>
    <t>BANK NIFTY</t>
  </si>
  <si>
    <t>EQUITAS</t>
  </si>
  <si>
    <t>MFSL</t>
  </si>
  <si>
    <t>BAJAJ FINANCE</t>
  </si>
  <si>
    <t>CAIRN</t>
  </si>
  <si>
    <t>EXIDEIND</t>
  </si>
  <si>
    <t>ESCORTS</t>
  </si>
  <si>
    <t>REC</t>
  </si>
  <si>
    <t>PETRONET</t>
  </si>
  <si>
    <t>MCDOWELL-N</t>
  </si>
  <si>
    <t>ENGINERSIN</t>
  </si>
  <si>
    <t>PEL</t>
  </si>
  <si>
    <t>DCB</t>
  </si>
  <si>
    <t>M&amp;M</t>
  </si>
  <si>
    <t xml:space="preserve">REC </t>
  </si>
  <si>
    <t>BIOCON</t>
  </si>
  <si>
    <t>DHFL</t>
  </si>
  <si>
    <t>SRF</t>
  </si>
  <si>
    <t>KOTAK BANK</t>
  </si>
  <si>
    <t>CANARA BANK</t>
  </si>
  <si>
    <t>ASHOKLEY</t>
  </si>
  <si>
    <t>LUPIN</t>
  </si>
  <si>
    <t>BERGER PAINTS</t>
  </si>
  <si>
    <t>DRREDDY</t>
  </si>
  <si>
    <t>SUNPHARMA</t>
  </si>
  <si>
    <t>APPOLOTYRE</t>
  </si>
  <si>
    <t>WIPRO</t>
  </si>
  <si>
    <t>BHARATFORGE</t>
  </si>
  <si>
    <t>CENTURYTEX</t>
  </si>
  <si>
    <t>TATAMOTORDVR</t>
  </si>
  <si>
    <t>TATA STEEL</t>
  </si>
  <si>
    <t>YES BANK</t>
  </si>
  <si>
    <t>HINDULVR</t>
  </si>
  <si>
    <t>ADANIENT</t>
  </si>
  <si>
    <t>AMBUJACEMENT</t>
  </si>
  <si>
    <t>SELL</t>
  </si>
  <si>
    <t>BATA INDIA</t>
  </si>
  <si>
    <t>GMR INFRA</t>
  </si>
  <si>
    <t>RAYMOND</t>
  </si>
  <si>
    <t>HDFC</t>
  </si>
  <si>
    <t>CADILA</t>
  </si>
  <si>
    <t>TATA MOTOR</t>
  </si>
  <si>
    <t>TATAPOWER</t>
  </si>
  <si>
    <t>L&amp;T</t>
  </si>
  <si>
    <t>RELCAP</t>
  </si>
  <si>
    <t>KOTAKBANK</t>
  </si>
  <si>
    <t>IBREALEST</t>
  </si>
  <si>
    <t>TATAMOTOR</t>
  </si>
  <si>
    <t>AMBUJACEM</t>
  </si>
  <si>
    <t>JINDALSTEEL</t>
  </si>
  <si>
    <t>INDUSIND</t>
  </si>
  <si>
    <t>RELIANCE </t>
  </si>
  <si>
    <t>GRASIM </t>
  </si>
  <si>
    <t>ITC </t>
  </si>
  <si>
    <t>RELINACE</t>
  </si>
  <si>
    <t>ITC</t>
  </si>
  <si>
    <t>JUBLFOOD </t>
  </si>
  <si>
    <t>YESBANK </t>
  </si>
  <si>
    <t>JSWSTEEL </t>
  </si>
  <si>
    <t>LT </t>
  </si>
  <si>
    <t>INDUSINDBANK </t>
  </si>
  <si>
    <t>BHARTIARTL </t>
  </si>
  <si>
    <t>ICICIPRUL </t>
  </si>
  <si>
    <t>ADANIPORTS </t>
  </si>
  <si>
    <t>JINDALSTEEL </t>
  </si>
  <si>
    <t>AXIS BANK</t>
  </si>
  <si>
    <t>AMBUJACEM </t>
  </si>
  <si>
    <t>CAN BANK</t>
  </si>
  <si>
    <t>LICHSGFIN </t>
  </si>
  <si>
    <t>BAJAJFIN </t>
  </si>
  <si>
    <t>JETAIRWAYS </t>
  </si>
  <si>
    <t>BPCL </t>
  </si>
  <si>
    <t>LUPIN </t>
  </si>
  <si>
    <t>HAVELLS </t>
  </si>
  <si>
    <t>TITAN </t>
  </si>
  <si>
    <t>MARUTI </t>
  </si>
  <si>
    <t>MCDOWELL- N</t>
  </si>
  <si>
    <t>ZELL </t>
  </si>
  <si>
    <t>TATAMOTOR </t>
  </si>
  <si>
    <t>JUBLFOOD</t>
  </si>
  <si>
    <t>HINDZINC</t>
  </si>
  <si>
    <t>VEDL </t>
  </si>
  <si>
    <t>ADNAIPORTS </t>
  </si>
  <si>
    <t>HINDALCO </t>
  </si>
  <si>
    <t>BHARATFIN </t>
  </si>
  <si>
    <t> INDIAN BANK</t>
  </si>
  <si>
    <t>SUNTV </t>
  </si>
  <si>
    <t>BANKBARODA </t>
  </si>
  <si>
    <t>BAHRATFIN </t>
  </si>
  <si>
    <t>HINDPETRO </t>
  </si>
  <si>
    <t>ONGC </t>
  </si>
  <si>
    <t>CANBANK</t>
  </si>
  <si>
    <t>BAJFINANCE</t>
  </si>
  <si>
    <t>BATAINDIA</t>
  </si>
  <si>
    <t>AADNIAINT</t>
  </si>
  <si>
    <t>CHANIPETRO</t>
  </si>
  <si>
    <t>BANKBARODA</t>
  </si>
  <si>
    <t>BHRATFIN</t>
  </si>
  <si>
    <t>IBULHSGFIN </t>
  </si>
  <si>
    <t>CENTURYTEX </t>
  </si>
  <si>
    <t> L&amp;TFIN </t>
  </si>
  <si>
    <t>CAPF </t>
  </si>
  <si>
    <t>ENGINERSIN </t>
  </si>
  <si>
    <r>
      <rPr>
        <b/>
        <sz val="11"/>
        <color indexed="57"/>
        <rFont val="Agency FB"/>
        <family val="2"/>
      </rPr>
      <t>Paramount Research Services</t>
    </r>
    <r>
      <rPr>
        <b/>
        <sz val="11"/>
        <color indexed="8"/>
        <rFont val="Agency FB"/>
        <family val="2"/>
      </rPr>
      <t xml:space="preserve"> </t>
    </r>
  </si>
  <si>
    <t>BHRATFIN </t>
  </si>
  <si>
    <t>INDIAN BANK </t>
  </si>
  <si>
    <t>RELCAPITAL </t>
  </si>
  <si>
    <t>BATAINDIA </t>
  </si>
  <si>
    <t>APOLOTYRE </t>
  </si>
  <si>
    <t>CESC </t>
  </si>
  <si>
    <t>IGL</t>
  </si>
  <si>
    <t>BHARTIAIRTEL</t>
  </si>
  <si>
    <t>TATASTEEL </t>
  </si>
  <si>
    <t>TECHM </t>
  </si>
  <si>
    <t>REC </t>
  </si>
  <si>
    <t>SBIN </t>
  </si>
  <si>
    <t>TATASTELL </t>
  </si>
  <si>
    <t>TATACHEM</t>
  </si>
  <si>
    <t>ADNIAPORTS</t>
  </si>
  <si>
    <t> M&amp;MFIN</t>
  </si>
  <si>
    <t>LISHSGFIN</t>
  </si>
  <si>
    <t>IBULSGFIN</t>
  </si>
  <si>
    <t>ACC </t>
  </si>
  <si>
    <t>GODREJIND </t>
  </si>
  <si>
    <t>CENTURITEX </t>
  </si>
  <si>
    <t>DIVISLAB </t>
  </si>
  <si>
    <t>VOLTAS </t>
  </si>
  <si>
    <t> ICICI BANK </t>
  </si>
  <si>
    <t>NIITTECH </t>
  </si>
  <si>
    <t>BEL </t>
  </si>
  <si>
    <t>ARVIND </t>
  </si>
  <si>
    <t>GAIL </t>
  </si>
  <si>
    <t>ZEEL </t>
  </si>
  <si>
    <t>PETRONET </t>
  </si>
  <si>
    <t>JSWSTELL </t>
  </si>
  <si>
    <t>KSCL </t>
  </si>
  <si>
    <t>DHFL </t>
  </si>
  <si>
    <t>DRREDDY </t>
  </si>
  <si>
    <t>WOCKPHARMA </t>
  </si>
  <si>
    <t>SIEMENS </t>
  </si>
  <si>
    <t>AMARRAJABAT </t>
  </si>
  <si>
    <t>HEXAWARE </t>
  </si>
  <si>
    <t>AUROPHARA </t>
  </si>
  <si>
    <t>GLANMARK </t>
  </si>
  <si>
    <t>MOTHERSUNSUMI </t>
  </si>
  <si>
    <t>HAVEELS </t>
  </si>
  <si>
    <t>TATACHEM </t>
  </si>
  <si>
    <t>INDIACEMENT </t>
  </si>
  <si>
    <t>JUSTDAIL </t>
  </si>
  <si>
    <t>RELINFRA </t>
  </si>
  <si>
    <t>M&amp;MFIN </t>
  </si>
  <si>
    <t>TATAGLOBAL </t>
  </si>
  <si>
    <t>NCC </t>
  </si>
  <si>
    <t>POWERGRID </t>
  </si>
  <si>
    <t>REMCOCEM </t>
  </si>
  <si>
    <t>ICICI BANK</t>
  </si>
  <si>
    <t>DLF </t>
  </si>
  <si>
    <t>ICIL </t>
  </si>
  <si>
    <t>GRANULES </t>
  </si>
  <si>
    <t>KAJARIACER </t>
  </si>
  <si>
    <t>CAN BANK </t>
  </si>
  <si>
    <t>TORNTPOWER </t>
  </si>
  <si>
    <t>CASTROLIND </t>
  </si>
  <si>
    <t> JAIN IRRGATION</t>
  </si>
  <si>
    <t>MOTHERSUMI </t>
  </si>
  <si>
    <t>ICICIPRULI </t>
  </si>
  <si>
    <t>IGL </t>
  </si>
  <si>
    <t>SRTRANFIN </t>
  </si>
  <si>
    <t>GODREJCP </t>
  </si>
  <si>
    <t>ADANIENT </t>
  </si>
  <si>
    <t>MINDTREE </t>
  </si>
  <si>
    <t> TATA GLOBAL</t>
  </si>
  <si>
    <t>BANKINDIA </t>
  </si>
  <si>
    <t>TATA GLOBAL</t>
  </si>
  <si>
    <t>CANBANK </t>
  </si>
  <si>
    <t>BANKINDA </t>
  </si>
  <si>
    <t>PCJEWELLER </t>
  </si>
  <si>
    <t>GSFC </t>
  </si>
  <si>
    <t>MRPL </t>
  </si>
  <si>
    <t>SRTRANSFIN </t>
  </si>
  <si>
    <t>MANAPPURAM </t>
  </si>
  <si>
    <t>KPIT </t>
  </si>
  <si>
    <t>WIPRO </t>
  </si>
  <si>
    <t>TATAELEXI </t>
  </si>
  <si>
    <t>BHEL </t>
  </si>
  <si>
    <t>IDEA </t>
  </si>
  <si>
    <t>SAIL </t>
  </si>
  <si>
    <t>JINDALSTEL </t>
  </si>
  <si>
    <t>ESCORT </t>
  </si>
  <si>
    <t>JAINIRRIGATION </t>
  </si>
  <si>
    <t>ASHOKLEY </t>
  </si>
  <si>
    <t>IRRIGATION </t>
  </si>
  <si>
    <t>INFY </t>
  </si>
  <si>
    <t>AXIS BANK </t>
  </si>
  <si>
    <t>L&amp;TFIN</t>
  </si>
  <si>
    <t>ICICIBANK </t>
  </si>
  <si>
    <t>EXIDEIND </t>
  </si>
  <si>
    <t>SRTRANSGFIN </t>
  </si>
  <si>
    <t>INDIAN BANK</t>
  </si>
  <si>
    <t>RELCAPITEL  </t>
  </si>
  <si>
    <t> BANK INDIA</t>
  </si>
  <si>
    <t> M&amp;M</t>
  </si>
  <si>
    <t>HINDZINC </t>
  </si>
  <si>
    <t>HUL </t>
  </si>
  <si>
    <t>L&amp;T </t>
  </si>
  <si>
    <t>EQUITAS </t>
  </si>
  <si>
    <t>BHARATFORG </t>
  </si>
  <si>
    <t>BAJAJFINANCE</t>
  </si>
  <si>
    <t>TCS </t>
  </si>
  <si>
    <t>ADNAIENT </t>
  </si>
  <si>
    <t>AXISBANK </t>
  </si>
  <si>
    <t>IRB INFRA</t>
  </si>
  <si>
    <t>AMARRAJABAT</t>
  </si>
  <si>
    <t>INDUSINDBANK</t>
  </si>
  <si>
    <t>FEDRELBANK </t>
  </si>
  <si>
    <t>BAJAJFINANCE </t>
  </si>
  <si>
    <t>IOC </t>
  </si>
  <si>
    <t>M&amp;MFIN</t>
  </si>
  <si>
    <t>MANAPPPURAM </t>
  </si>
  <si>
    <t>HINDACO </t>
  </si>
  <si>
    <t>AUROPHARMA </t>
  </si>
  <si>
    <t>BERGERPAINT </t>
  </si>
  <si>
    <t>JAIN IRRIGATION</t>
  </si>
  <si>
    <t>PFC </t>
  </si>
  <si>
    <t>UJJIVEN </t>
  </si>
  <si>
    <t>AJANTAPHARAM </t>
  </si>
  <si>
    <t>SRF </t>
  </si>
  <si>
    <t>NTPC </t>
  </si>
  <si>
    <t>ACC</t>
  </si>
  <si>
    <t>UJJIVAN </t>
  </si>
  <si>
    <t>RECLTD </t>
  </si>
  <si>
    <t>HDFC </t>
  </si>
  <si>
    <t>CANFINHOME </t>
  </si>
  <si>
    <t>CHENNPETRO </t>
  </si>
  <si>
    <t>JNDALSTTEL </t>
  </si>
  <si>
    <t>OIL </t>
  </si>
  <si>
    <t>VGUARD </t>
  </si>
  <si>
    <t>BEML </t>
  </si>
  <si>
    <t>RAYMOND </t>
  </si>
  <si>
    <t>COLPAL </t>
  </si>
  <si>
    <t>CADILAHC </t>
  </si>
  <si>
    <t>INDIGO </t>
  </si>
  <si>
    <t>HCLTECH </t>
  </si>
  <si>
    <t>POWERGRID</t>
  </si>
  <si>
    <t>KSCL</t>
  </si>
  <si>
    <t>CHOLAFIN</t>
  </si>
  <si>
    <t>NIITTECH</t>
  </si>
  <si>
    <t>BAJFIANCE </t>
  </si>
  <si>
    <t>TVSMOTOR </t>
  </si>
  <si>
    <t>TECHM</t>
  </si>
  <si>
    <t>SUNPHARMA </t>
  </si>
  <si>
    <t>MCX </t>
  </si>
  <si>
    <t>BAJFINANCE </t>
  </si>
  <si>
    <t>BALKRISIND </t>
  </si>
  <si>
    <t>CEAT </t>
  </si>
  <si>
    <t>CAPF</t>
  </si>
  <si>
    <t> MCDOWELL- N </t>
  </si>
  <si>
    <t>NMDC </t>
  </si>
  <si>
    <t>KTKBANK </t>
  </si>
  <si>
    <t>HEROMOTOCORP </t>
  </si>
  <si>
    <t>STAR</t>
  </si>
  <si>
    <t>TAATAGLOBAL </t>
  </si>
  <si>
    <t>STAR </t>
  </si>
  <si>
    <t>BALRAMPERCHINI </t>
  </si>
  <si>
    <t>NATIONALUM </t>
  </si>
  <si>
    <t>INDIACEM </t>
  </si>
  <si>
    <t>BAJAJFINACE </t>
  </si>
  <si>
    <t>RELINACE </t>
  </si>
  <si>
    <t> M&amp;M </t>
  </si>
  <si>
    <t>CEAT</t>
  </si>
  <si>
    <t> L&amp;TFIN</t>
  </si>
  <si>
    <t>UBL </t>
  </si>
  <si>
    <t>CANFINHOME</t>
  </si>
  <si>
    <t>SHRIINFRA</t>
  </si>
  <si>
    <t>MINDTREE</t>
  </si>
  <si>
    <t>BARAMPURCHINI</t>
  </si>
  <si>
    <t>BAAJAJAUTO</t>
  </si>
  <si>
    <t>BALRAMPURCHINI </t>
  </si>
  <si>
    <t>SREINFRA </t>
  </si>
  <si>
    <t>ULTRATECHCEM </t>
  </si>
  <si>
    <t>MUTHOOTFIN </t>
  </si>
  <si>
    <t>L&amp;TFIN </t>
  </si>
  <si>
    <t>BALRAMPURCHNI </t>
  </si>
  <si>
    <t>INFIBEAM </t>
  </si>
  <si>
    <t>APOLLOTYRE</t>
  </si>
  <si>
    <t>ZEEL</t>
  </si>
  <si>
    <t>CANBK</t>
  </si>
  <si>
    <t>INDAINBANK </t>
  </si>
  <si>
    <t>GRASIM</t>
  </si>
  <si>
    <t>CESC</t>
  </si>
  <si>
    <t>APOLLOHOSP </t>
  </si>
  <si>
    <t>RBLBANK </t>
  </si>
  <si>
    <t>PNB </t>
  </si>
  <si>
    <t>DCBBANK</t>
  </si>
  <si>
    <t>UBL</t>
  </si>
  <si>
    <t>JETAIRWATS </t>
  </si>
  <si>
    <t>MCDOWELL- N </t>
  </si>
  <si>
    <t xml:space="preserve">TATAPOWER </t>
  </si>
  <si>
    <t xml:space="preserve">SRTRANSGFIN </t>
  </si>
  <si>
    <t xml:space="preserve">ESCORT </t>
  </si>
  <si>
    <t xml:space="preserve">CANBANK </t>
  </si>
  <si>
    <t xml:space="preserve">HINDALCO </t>
  </si>
  <si>
    <t xml:space="preserve">MGL </t>
  </si>
  <si>
    <t xml:space="preserve">TITAN </t>
  </si>
  <si>
    <t xml:space="preserve">SRF </t>
  </si>
  <si>
    <t xml:space="preserve">BHARTIARTL </t>
  </si>
  <si>
    <t xml:space="preserve">ONGC </t>
  </si>
  <si>
    <t xml:space="preserve">CUMMINSIND </t>
  </si>
  <si>
    <t xml:space="preserve">SUNPHARMA </t>
  </si>
  <si>
    <t xml:space="preserve">AMBUJACEM </t>
  </si>
  <si>
    <t xml:space="preserve">ACC </t>
  </si>
  <si>
    <t xml:space="preserve">IRB </t>
  </si>
  <si>
    <t xml:space="preserve">BPCL </t>
  </si>
  <si>
    <t xml:space="preserve">NCC </t>
  </si>
  <si>
    <t xml:space="preserve">ICICI </t>
  </si>
  <si>
    <t>INFRATEL</t>
  </si>
  <si>
    <t>TATAGLOBAL</t>
  </si>
  <si>
    <t xml:space="preserve">TATASTEEL </t>
  </si>
  <si>
    <t>NCC</t>
  </si>
  <si>
    <t xml:space="preserve">RELIANCE </t>
  </si>
  <si>
    <t>ICICBANK</t>
  </si>
  <si>
    <t>RECLTD</t>
  </si>
  <si>
    <t xml:space="preserve">ZEEL </t>
  </si>
  <si>
    <t>DABUR</t>
  </si>
  <si>
    <t xml:space="preserve">LICHSGFIN </t>
  </si>
  <si>
    <t>CANARABANK</t>
  </si>
  <si>
    <t>L&amp;TFH</t>
  </si>
  <si>
    <t>INDIGO</t>
  </si>
  <si>
    <t xml:space="preserve">YESBANK </t>
  </si>
  <si>
    <t>ULTRACEMCO</t>
  </si>
  <si>
    <t>IBULHSGFIN</t>
  </si>
  <si>
    <t>YESBANK</t>
  </si>
  <si>
    <t>HEROMOTOCO</t>
  </si>
  <si>
    <t>REL CAPITAL</t>
  </si>
  <si>
    <t>GLENMARK</t>
  </si>
  <si>
    <t>ICICPRULI</t>
  </si>
  <si>
    <t>APOLLOHOSPITAL</t>
  </si>
  <si>
    <t>ASIANPAINT</t>
  </si>
  <si>
    <t xml:space="preserve">SBIN </t>
  </si>
  <si>
    <t xml:space="preserve">INDIGO </t>
  </si>
  <si>
    <t xml:space="preserve">AUROPHARMA </t>
  </si>
  <si>
    <t>TITAN</t>
  </si>
  <si>
    <t xml:space="preserve">PUT </t>
  </si>
  <si>
    <t>CADILAHC</t>
  </si>
  <si>
    <t>PVR</t>
  </si>
  <si>
    <t>INDUSINDBK</t>
  </si>
  <si>
    <t>SRTRANSFIN</t>
  </si>
  <si>
    <t xml:space="preserve">M&amp;M </t>
  </si>
  <si>
    <t>INDIANBANK</t>
  </si>
  <si>
    <t>UJJIVAN</t>
  </si>
  <si>
    <t>NTPC</t>
  </si>
  <si>
    <t xml:space="preserve">PEL </t>
  </si>
  <si>
    <t>RBLBANK</t>
  </si>
  <si>
    <t>HEROMOTOCOP</t>
  </si>
  <si>
    <t>TVSMOTORS</t>
  </si>
  <si>
    <t xml:space="preserve">TCS </t>
  </si>
  <si>
    <t>LUPIN (AUG)</t>
  </si>
  <si>
    <t>DRREDDY (AUG)</t>
  </si>
  <si>
    <t>SRTRANSFIN (AUG)</t>
  </si>
  <si>
    <t xml:space="preserve">MARUTI </t>
  </si>
  <si>
    <t xml:space="preserve">IBULHSGFIN </t>
  </si>
  <si>
    <t>M&amp;M FIN</t>
  </si>
  <si>
    <t xml:space="preserve">TATAGLOBAL </t>
  </si>
  <si>
    <t>HINDUNILVR</t>
  </si>
  <si>
    <t xml:space="preserve">TATAMOTORS </t>
  </si>
  <si>
    <t>PIDILITE</t>
  </si>
  <si>
    <t xml:space="preserve">JSWSTEEL </t>
  </si>
  <si>
    <t>WE CALCULATE YOUR RISK AND REWARD AND GIVE YOU MAXIMUM RETURNS</t>
  </si>
  <si>
    <t>TRACK RECORD</t>
  </si>
  <si>
    <t xml:space="preserve">RBLBANK </t>
  </si>
  <si>
    <t xml:space="preserve">ESCORTS </t>
  </si>
  <si>
    <t xml:space="preserve">LUPIN </t>
  </si>
  <si>
    <t>TATAMTDVR</t>
  </si>
  <si>
    <t xml:space="preserve">KOTAKBANK </t>
  </si>
  <si>
    <t>ICICIPRLI</t>
  </si>
  <si>
    <t>BRITANNIA</t>
  </si>
  <si>
    <t>INDUSINDNK</t>
  </si>
  <si>
    <t xml:space="preserve">SIEMENS </t>
  </si>
  <si>
    <t>BAJAJ-AUTO</t>
  </si>
  <si>
    <t xml:space="preserve">DRREADY </t>
  </si>
  <si>
    <t xml:space="preserve">AUROPHRMA </t>
  </si>
  <si>
    <t xml:space="preserve">BAJAJFINSV </t>
  </si>
  <si>
    <t xml:space="preserve">VOLTAS </t>
  </si>
  <si>
    <t xml:space="preserve">ICICIBANK </t>
  </si>
  <si>
    <t xml:space="preserve">HDFCBANK </t>
  </si>
  <si>
    <t xml:space="preserve">HDFC </t>
  </si>
  <si>
    <t xml:space="preserve">SUNTV </t>
  </si>
  <si>
    <t xml:space="preserve">DLF </t>
  </si>
  <si>
    <t>AUROPHAMA</t>
  </si>
  <si>
    <t>JUBULFOOD</t>
  </si>
  <si>
    <t xml:space="preserve">ITC </t>
  </si>
  <si>
    <t xml:space="preserve">BIOCON </t>
  </si>
  <si>
    <t>NIITECH</t>
  </si>
  <si>
    <t xml:space="preserve">MANAPPURAM </t>
  </si>
  <si>
    <t xml:space="preserve">UJJIVAN </t>
  </si>
  <si>
    <t xml:space="preserve">IOC </t>
  </si>
  <si>
    <t>MARICO</t>
  </si>
  <si>
    <t>BERGEPAINT </t>
  </si>
  <si>
    <t xml:space="preserve">CENTURYTEX </t>
  </si>
  <si>
    <t xml:space="preserve">INDUSINDBK </t>
  </si>
  <si>
    <t>JUSTDAIL</t>
  </si>
  <si>
    <t>OUT</t>
  </si>
  <si>
    <t>PIDILITIND</t>
  </si>
  <si>
    <t xml:space="preserve">NTPC </t>
  </si>
  <si>
    <t>TATACONSUM</t>
  </si>
  <si>
    <t>JUBALFOOD</t>
  </si>
  <si>
    <t>CADILACH</t>
  </si>
  <si>
    <t>INDIGI</t>
  </si>
  <si>
    <t>MCDOWELL</t>
  </si>
  <si>
    <t xml:space="preserve">HDFCLIFE </t>
  </si>
  <si>
    <t>MGL</t>
  </si>
  <si>
    <t xml:space="preserve">AXISBANK </t>
  </si>
  <si>
    <t>EICHEMOT</t>
  </si>
  <si>
    <t xml:space="preserve">AXSISBANK </t>
  </si>
  <si>
    <t>PROFIT/LOSS</t>
  </si>
  <si>
    <t>ICICIPRULI</t>
  </si>
  <si>
    <t>BANDHANBNK</t>
  </si>
  <si>
    <t>TORNTPOWER</t>
  </si>
  <si>
    <t>TORNTPHARM</t>
  </si>
  <si>
    <t>COLPAL</t>
  </si>
  <si>
    <t>BEL</t>
  </si>
  <si>
    <t>NMDC</t>
  </si>
  <si>
    <t>COFORGE</t>
  </si>
  <si>
    <t>EXIDIND</t>
  </si>
  <si>
    <t>SBILIFE</t>
  </si>
  <si>
    <t>INDUSTOWER</t>
  </si>
  <si>
    <t>BHARTFORGE</t>
  </si>
  <si>
    <t>CONCOR</t>
  </si>
  <si>
    <t>LTI</t>
  </si>
  <si>
    <t>GRANULES</t>
  </si>
  <si>
    <t>AARTIIND</t>
  </si>
  <si>
    <t>SAIL</t>
  </si>
  <si>
    <t>IRCTC</t>
  </si>
  <si>
    <t>LTTS</t>
  </si>
  <si>
    <t>DEEPAKNTR</t>
  </si>
</sst>
</file>

<file path=xl/styles.xml><?xml version="1.0" encoding="utf-8"?>
<styleSheet xmlns="http://schemas.openxmlformats.org/spreadsheetml/2006/main">
  <numFmts count="2">
    <numFmt numFmtId="164" formatCode="0.00;[Red]\-0.00"/>
    <numFmt numFmtId="165" formatCode="[$-409]d\-mmm\-yy;@"/>
  </numFmts>
  <fonts count="1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sz val="11"/>
      <name val="Calibri"/>
      <family val="2"/>
    </font>
    <font>
      <sz val="11"/>
      <color indexed="8"/>
      <name val="Agency FB"/>
      <family val="2"/>
    </font>
    <font>
      <b/>
      <sz val="11"/>
      <color indexed="8"/>
      <name val="Agency FB"/>
      <family val="2"/>
    </font>
    <font>
      <b/>
      <sz val="11"/>
      <color indexed="57"/>
      <name val="Agency FB"/>
      <family val="2"/>
    </font>
    <font>
      <b/>
      <sz val="11"/>
      <color rgb="FFFF0000"/>
      <name val="Agency FB"/>
      <family val="2"/>
    </font>
    <font>
      <b/>
      <sz val="11"/>
      <color indexed="30"/>
      <name val="Agency FB"/>
      <family val="2"/>
    </font>
    <font>
      <b/>
      <sz val="11"/>
      <name val="Calibri"/>
      <family val="2"/>
      <charset val="1"/>
    </font>
    <font>
      <b/>
      <sz val="11"/>
      <name val="Calibri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19">
    <border>
      <left/>
      <right/>
      <top/>
      <bottom/>
      <diagonal/>
    </border>
    <border>
      <left style="thin">
        <color indexed="31"/>
      </left>
      <right/>
      <top style="thin">
        <color indexed="31"/>
      </top>
      <bottom/>
      <diagonal/>
    </border>
    <border>
      <left/>
      <right/>
      <top style="thin">
        <color indexed="31"/>
      </top>
      <bottom/>
      <diagonal/>
    </border>
    <border>
      <left style="thin">
        <color indexed="3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3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84">
    <xf numFmtId="0" fontId="0" fillId="0" borderId="0" xfId="0"/>
    <xf numFmtId="164" fontId="3" fillId="0" borderId="4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 vertical="center"/>
    </xf>
    <xf numFmtId="15" fontId="0" fillId="0" borderId="6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15" fontId="0" fillId="0" borderId="5" xfId="0" applyNumberFormat="1" applyFont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 applyFill="1"/>
    <xf numFmtId="0" fontId="3" fillId="0" borderId="4" xfId="0" applyNumberFormat="1" applyFont="1" applyFill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3" fillId="4" borderId="5" xfId="0" applyNumberFormat="1" applyFont="1" applyFill="1" applyBorder="1" applyAlignment="1">
      <alignment horizontal="center" vertical="center"/>
    </xf>
    <xf numFmtId="1" fontId="3" fillId="4" borderId="5" xfId="0" applyNumberFormat="1" applyFont="1" applyFill="1" applyBorder="1" applyAlignment="1">
      <alignment horizontal="center" vertical="center"/>
    </xf>
    <xf numFmtId="0" fontId="3" fillId="4" borderId="4" xfId="0" applyNumberFormat="1" applyFont="1" applyFill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Border="1"/>
    <xf numFmtId="2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/>
    <xf numFmtId="165" fontId="3" fillId="0" borderId="4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4" borderId="0" xfId="0" applyFont="1" applyFill="1" applyBorder="1"/>
    <xf numFmtId="0" fontId="0" fillId="4" borderId="0" xfId="0" applyFont="1" applyFill="1"/>
    <xf numFmtId="14" fontId="9" fillId="4" borderId="5" xfId="0" applyNumberFormat="1" applyFont="1" applyFill="1" applyBorder="1" applyAlignment="1">
      <alignment horizontal="center" vertical="center"/>
    </xf>
    <xf numFmtId="0" fontId="9" fillId="4" borderId="5" xfId="0" applyNumberFormat="1" applyFont="1" applyFill="1" applyBorder="1" applyAlignment="1">
      <alignment horizontal="center" vertical="center"/>
    </xf>
    <xf numFmtId="0" fontId="10" fillId="4" borderId="5" xfId="0" applyNumberFormat="1" applyFont="1" applyFill="1" applyBorder="1" applyAlignment="1">
      <alignment horizontal="center" vertical="center"/>
    </xf>
    <xf numFmtId="1" fontId="9" fillId="4" borderId="5" xfId="0" applyNumberFormat="1" applyFont="1" applyFill="1" applyBorder="1" applyAlignment="1">
      <alignment horizontal="center" vertical="center"/>
    </xf>
    <xf numFmtId="15" fontId="11" fillId="5" borderId="5" xfId="0" applyNumberFormat="1" applyFont="1" applyFill="1" applyBorder="1" applyAlignment="1">
      <alignment horizontal="center"/>
    </xf>
    <xf numFmtId="1" fontId="3" fillId="4" borderId="4" xfId="0" applyNumberFormat="1" applyFont="1" applyFill="1" applyBorder="1" applyAlignment="1">
      <alignment horizontal="center" vertical="center"/>
    </xf>
    <xf numFmtId="0" fontId="0" fillId="4" borderId="15" xfId="0" applyFont="1" applyFill="1" applyBorder="1"/>
    <xf numFmtId="0" fontId="0" fillId="4" borderId="6" xfId="0" applyFont="1" applyFill="1" applyBorder="1"/>
    <xf numFmtId="0" fontId="0" fillId="4" borderId="17" xfId="0" applyFont="1" applyFill="1" applyBorder="1"/>
    <xf numFmtId="0" fontId="0" fillId="0" borderId="15" xfId="0" applyFont="1" applyBorder="1"/>
    <xf numFmtId="2" fontId="3" fillId="4" borderId="4" xfId="0" applyNumberFormat="1" applyFont="1" applyFill="1" applyBorder="1" applyAlignment="1">
      <alignment horizontal="center" vertical="center"/>
    </xf>
    <xf numFmtId="2" fontId="9" fillId="4" borderId="5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/>
    </xf>
    <xf numFmtId="2" fontId="3" fillId="4" borderId="5" xfId="0" applyNumberFormat="1" applyFont="1" applyFill="1" applyBorder="1" applyAlignment="1">
      <alignment horizontal="center" vertical="center"/>
    </xf>
    <xf numFmtId="2" fontId="0" fillId="0" borderId="0" xfId="0" applyNumberFormat="1" applyFont="1"/>
    <xf numFmtId="2" fontId="3" fillId="0" borderId="4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2" fontId="3" fillId="4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/>
    </xf>
    <xf numFmtId="2" fontId="3" fillId="4" borderId="9" xfId="0" applyNumberFormat="1" applyFont="1" applyFill="1" applyBorder="1" applyAlignment="1">
      <alignment horizontal="center" vertical="center"/>
    </xf>
    <xf numFmtId="14" fontId="3" fillId="4" borderId="4" xfId="0" applyNumberFormat="1" applyFont="1" applyFill="1" applyBorder="1" applyAlignment="1">
      <alignment horizontal="center" vertical="center"/>
    </xf>
    <xf numFmtId="0" fontId="9" fillId="3" borderId="5" xfId="0" applyNumberFormat="1" applyFont="1" applyFill="1" applyBorder="1" applyAlignment="1">
      <alignment horizontal="center" vertical="center"/>
    </xf>
    <xf numFmtId="0" fontId="9" fillId="3" borderId="4" xfId="0" applyNumberFormat="1" applyFont="1" applyFill="1" applyBorder="1" applyAlignment="1">
      <alignment horizontal="center" vertical="center"/>
    </xf>
    <xf numFmtId="2" fontId="9" fillId="3" borderId="4" xfId="0" applyNumberFormat="1" applyFont="1" applyFill="1" applyBorder="1" applyAlignment="1">
      <alignment horizontal="center" vertical="center"/>
    </xf>
    <xf numFmtId="2" fontId="9" fillId="3" borderId="5" xfId="0" applyNumberFormat="1" applyFont="1" applyFill="1" applyBorder="1" applyAlignment="1">
      <alignment horizontal="center" vertical="center"/>
    </xf>
    <xf numFmtId="0" fontId="9" fillId="3" borderId="7" xfId="0" applyNumberFormat="1" applyFont="1" applyFill="1" applyBorder="1" applyAlignment="1">
      <alignment horizontal="center" vertical="center"/>
    </xf>
    <xf numFmtId="0" fontId="9" fillId="3" borderId="8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14" fontId="9" fillId="3" borderId="5" xfId="0" applyNumberFormat="1" applyFont="1" applyFill="1" applyBorder="1" applyAlignment="1">
      <alignment horizontal="center" vertical="center"/>
    </xf>
    <xf numFmtId="0" fontId="10" fillId="3" borderId="8" xfId="0" applyNumberFormat="1" applyFont="1" applyFill="1" applyBorder="1" applyAlignment="1">
      <alignment horizontal="center" vertical="center"/>
    </xf>
    <xf numFmtId="0" fontId="10" fillId="3" borderId="4" xfId="0" applyNumberFormat="1" applyFont="1" applyFill="1" applyBorder="1" applyAlignment="1">
      <alignment horizontal="center" vertical="center"/>
    </xf>
    <xf numFmtId="1" fontId="9" fillId="3" borderId="4" xfId="0" applyNumberFormat="1" applyFont="1" applyFill="1" applyBorder="1" applyAlignment="1">
      <alignment horizontal="center" vertical="center"/>
    </xf>
    <xf numFmtId="1" fontId="9" fillId="3" borderId="5" xfId="0" applyNumberFormat="1" applyFont="1" applyFill="1" applyBorder="1" applyAlignment="1">
      <alignment horizontal="center" vertical="center"/>
    </xf>
    <xf numFmtId="0" fontId="9" fillId="3" borderId="17" xfId="0" applyNumberFormat="1" applyFont="1" applyFill="1" applyBorder="1" applyAlignment="1">
      <alignment horizontal="center" vertical="center"/>
    </xf>
    <xf numFmtId="0" fontId="9" fillId="3" borderId="6" xfId="0" applyNumberFormat="1" applyFont="1" applyFill="1" applyBorder="1" applyAlignment="1">
      <alignment horizontal="center" vertical="center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161924</xdr:colOff>
      <xdr:row>0</xdr:row>
      <xdr:rowOff>188807</xdr:rowOff>
    </xdr:from>
    <xdr:to>
      <xdr:col>2</xdr:col>
      <xdr:colOff>199158</xdr:colOff>
      <xdr:row>4</xdr:row>
      <xdr:rowOff>28575</xdr:rowOff>
    </xdr:to>
    <xdr:pic>
      <xdr:nvPicPr>
        <xdr:cNvPr id="2" name="Picture 2" descr="FINAL 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61924" y="188807"/>
          <a:ext cx="1994189" cy="601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G2921"/>
  <sheetViews>
    <sheetView tabSelected="1" topLeftCell="A6" zoomScale="85" zoomScaleNormal="85" workbookViewId="0">
      <selection activeCell="A9" sqref="A9"/>
    </sheetView>
  </sheetViews>
  <sheetFormatPr defaultRowHeight="15"/>
  <cols>
    <col min="1" max="1" width="11.85546875" style="23" customWidth="1"/>
    <col min="2" max="2" width="17.42578125" style="23" customWidth="1"/>
    <col min="3" max="3" width="11" style="23" customWidth="1"/>
    <col min="4" max="4" width="12.5703125" style="23" customWidth="1"/>
    <col min="5" max="5" width="7.42578125" style="26" customWidth="1"/>
    <col min="6" max="6" width="7" style="23" customWidth="1"/>
    <col min="7" max="7" width="8.140625" style="23" customWidth="1"/>
    <col min="8" max="8" width="13.140625" style="23" customWidth="1"/>
    <col min="9" max="9" width="14.140625" style="50" customWidth="1"/>
    <col min="10" max="10" width="13" style="23" customWidth="1"/>
    <col min="11" max="11" width="11.42578125" style="23" customWidth="1"/>
    <col min="12" max="12" width="10.7109375" style="23" customWidth="1"/>
    <col min="13" max="13" width="8.42578125" style="23" customWidth="1"/>
    <col min="14" max="14" width="13.7109375" style="23" customWidth="1"/>
    <col min="15" max="15" width="16" style="23" customWidth="1"/>
    <col min="16" max="16384" width="9.140625" style="23"/>
  </cols>
  <sheetData>
    <row r="1" spans="1:33">
      <c r="A1" s="64"/>
      <c r="B1" s="65"/>
      <c r="C1" s="66"/>
      <c r="D1" s="69" t="s">
        <v>186</v>
      </c>
      <c r="E1" s="70"/>
      <c r="F1" s="70"/>
      <c r="G1" s="70"/>
      <c r="H1" s="70"/>
      <c r="I1" s="70"/>
      <c r="J1" s="70"/>
      <c r="K1" s="70"/>
      <c r="L1" s="70"/>
      <c r="M1" s="70"/>
      <c r="N1" s="70"/>
      <c r="O1" s="42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</row>
    <row r="2" spans="1:33">
      <c r="A2" s="67"/>
      <c r="B2" s="68"/>
      <c r="C2" s="68"/>
      <c r="D2" s="71"/>
      <c r="E2" s="72"/>
      <c r="F2" s="72"/>
      <c r="G2" s="72"/>
      <c r="H2" s="72"/>
      <c r="I2" s="72"/>
      <c r="J2" s="72"/>
      <c r="K2" s="72"/>
      <c r="L2" s="72"/>
      <c r="M2" s="72"/>
      <c r="N2" s="72"/>
      <c r="O2" s="39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1:33">
      <c r="A3" s="67"/>
      <c r="B3" s="68"/>
      <c r="C3" s="68"/>
      <c r="D3" s="73"/>
      <c r="E3" s="74"/>
      <c r="F3" s="74"/>
      <c r="G3" s="74"/>
      <c r="H3" s="74"/>
      <c r="I3" s="74"/>
      <c r="J3" s="74"/>
      <c r="K3" s="74"/>
      <c r="L3" s="74"/>
      <c r="M3" s="74"/>
      <c r="N3" s="74"/>
      <c r="O3" s="41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</row>
    <row r="4" spans="1:33">
      <c r="A4" s="67"/>
      <c r="B4" s="68"/>
      <c r="C4" s="68"/>
      <c r="D4" s="75" t="s">
        <v>450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40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</row>
    <row r="5" spans="1:33">
      <c r="A5" s="67"/>
      <c r="B5" s="68"/>
      <c r="C5" s="68"/>
      <c r="D5" s="75" t="s">
        <v>451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40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</row>
    <row r="6" spans="1:33">
      <c r="A6" s="77" t="s">
        <v>0</v>
      </c>
      <c r="B6" s="58" t="s">
        <v>1</v>
      </c>
      <c r="C6" s="62" t="s">
        <v>45</v>
      </c>
      <c r="D6" s="78" t="s">
        <v>49</v>
      </c>
      <c r="E6" s="80" t="s">
        <v>50</v>
      </c>
      <c r="F6" s="59" t="s">
        <v>2</v>
      </c>
      <c r="G6" s="59" t="s">
        <v>3</v>
      </c>
      <c r="H6" s="59" t="s">
        <v>4</v>
      </c>
      <c r="I6" s="60" t="s">
        <v>5</v>
      </c>
      <c r="J6" s="62" t="s">
        <v>6</v>
      </c>
      <c r="K6" s="63" t="s">
        <v>51</v>
      </c>
      <c r="L6" s="63" t="s">
        <v>52</v>
      </c>
      <c r="M6" s="62" t="s">
        <v>53</v>
      </c>
      <c r="N6" s="82" t="s">
        <v>7</v>
      </c>
      <c r="O6" s="58" t="s">
        <v>497</v>
      </c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>
      <c r="A7" s="77"/>
      <c r="B7" s="58"/>
      <c r="C7" s="63"/>
      <c r="D7" s="78"/>
      <c r="E7" s="81"/>
      <c r="F7" s="58"/>
      <c r="G7" s="58"/>
      <c r="H7" s="58"/>
      <c r="I7" s="61"/>
      <c r="J7" s="63"/>
      <c r="K7" s="63"/>
      <c r="L7" s="63"/>
      <c r="M7" s="63"/>
      <c r="N7" s="83"/>
      <c r="O7" s="58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</row>
    <row r="8" spans="1:33" ht="15" customHeight="1">
      <c r="A8" s="77"/>
      <c r="B8" s="58"/>
      <c r="C8" s="59"/>
      <c r="D8" s="79"/>
      <c r="E8" s="81"/>
      <c r="F8" s="58"/>
      <c r="G8" s="58"/>
      <c r="H8" s="58"/>
      <c r="I8" s="61"/>
      <c r="J8" s="59"/>
      <c r="K8" s="59"/>
      <c r="L8" s="59"/>
      <c r="M8" s="59"/>
      <c r="N8" s="83"/>
      <c r="O8" s="58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</row>
    <row r="9" spans="1:33" s="32" customFormat="1" ht="15" customHeight="1">
      <c r="A9" s="33"/>
      <c r="B9" s="34"/>
      <c r="C9" s="34"/>
      <c r="D9" s="35"/>
      <c r="E9" s="36"/>
      <c r="F9" s="34"/>
      <c r="G9" s="34"/>
      <c r="H9" s="44"/>
      <c r="I9" s="44"/>
      <c r="J9" s="44"/>
      <c r="K9" s="34"/>
      <c r="L9" s="34"/>
      <c r="M9" s="34"/>
      <c r="N9" s="34"/>
      <c r="O9" s="34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</row>
    <row r="10" spans="1:33" s="32" customFormat="1" ht="15" customHeight="1">
      <c r="A10" s="37">
        <v>44377</v>
      </c>
      <c r="B10" s="57" t="s">
        <v>62</v>
      </c>
      <c r="C10" s="20" t="s">
        <v>47</v>
      </c>
      <c r="D10" s="20">
        <v>125</v>
      </c>
      <c r="E10" s="38">
        <v>6200</v>
      </c>
      <c r="F10" s="20" t="s">
        <v>8</v>
      </c>
      <c r="G10" s="43">
        <v>4</v>
      </c>
      <c r="H10" s="43">
        <v>4.8</v>
      </c>
      <c r="I10" s="43">
        <v>0</v>
      </c>
      <c r="J10" s="43">
        <v>0</v>
      </c>
      <c r="K10" s="1">
        <f t="shared" ref="K10" si="0">(IF(F10="SELL",G10-H10,IF(F10="BUY",H10-G10)))*E10</f>
        <v>4959.9999999999991</v>
      </c>
      <c r="L10" s="43">
        <v>0</v>
      </c>
      <c r="M10" s="43">
        <v>0</v>
      </c>
      <c r="N10" s="1">
        <f t="shared" ref="N10" si="1">(L10+K10+M10)/E10</f>
        <v>0.79999999999999982</v>
      </c>
      <c r="O10" s="1">
        <f t="shared" ref="O10" si="2">N10*E10</f>
        <v>4959.9999999999991</v>
      </c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</row>
    <row r="11" spans="1:33" s="32" customFormat="1" ht="15" customHeight="1">
      <c r="A11" s="37">
        <v>44377</v>
      </c>
      <c r="B11" s="57" t="s">
        <v>404</v>
      </c>
      <c r="C11" s="20" t="s">
        <v>47</v>
      </c>
      <c r="D11" s="20">
        <v>142.5</v>
      </c>
      <c r="E11" s="38">
        <v>6000</v>
      </c>
      <c r="F11" s="20" t="s">
        <v>8</v>
      </c>
      <c r="G11" s="43">
        <v>6.4</v>
      </c>
      <c r="H11" s="43">
        <v>7</v>
      </c>
      <c r="I11" s="43">
        <v>0</v>
      </c>
      <c r="J11" s="43">
        <v>0</v>
      </c>
      <c r="K11" s="1">
        <f t="shared" ref="K11" si="3">(IF(F11="SELL",G11-H11,IF(F11="BUY",H11-G11)))*E11</f>
        <v>3599.9999999999977</v>
      </c>
      <c r="L11" s="43">
        <v>0</v>
      </c>
      <c r="M11" s="43">
        <v>0</v>
      </c>
      <c r="N11" s="1">
        <f t="shared" ref="N11" si="4">(L11+K11+M11)/E11</f>
        <v>0.59999999999999964</v>
      </c>
      <c r="O11" s="1">
        <f t="shared" ref="O11" si="5">N11*E11</f>
        <v>3599.9999999999977</v>
      </c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</row>
    <row r="12" spans="1:33" s="32" customFormat="1" ht="15" customHeight="1">
      <c r="A12" s="37">
        <v>44377</v>
      </c>
      <c r="B12" s="57" t="s">
        <v>517</v>
      </c>
      <c r="C12" s="20" t="s">
        <v>47</v>
      </c>
      <c r="D12" s="20">
        <v>1800</v>
      </c>
      <c r="E12" s="38">
        <v>500</v>
      </c>
      <c r="F12" s="20" t="s">
        <v>8</v>
      </c>
      <c r="G12" s="43">
        <v>88</v>
      </c>
      <c r="H12" s="43">
        <v>95</v>
      </c>
      <c r="I12" s="43">
        <v>0</v>
      </c>
      <c r="J12" s="43">
        <v>0</v>
      </c>
      <c r="K12" s="1">
        <f t="shared" ref="K12" si="6">(IF(F12="SELL",G12-H12,IF(F12="BUY",H12-G12)))*E12</f>
        <v>3500</v>
      </c>
      <c r="L12" s="43">
        <v>0</v>
      </c>
      <c r="M12" s="43">
        <v>0</v>
      </c>
      <c r="N12" s="1">
        <f t="shared" ref="N12" si="7">(L12+K12+M12)/E12</f>
        <v>7</v>
      </c>
      <c r="O12" s="1">
        <f t="shared" ref="O12" si="8">N12*E12</f>
        <v>3500</v>
      </c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</row>
    <row r="13" spans="1:33" s="32" customFormat="1" ht="15" customHeight="1">
      <c r="A13" s="37">
        <v>44376</v>
      </c>
      <c r="B13" s="57" t="s">
        <v>515</v>
      </c>
      <c r="C13" s="20" t="s">
        <v>47</v>
      </c>
      <c r="D13" s="20">
        <v>2200</v>
      </c>
      <c r="E13" s="38">
        <v>325</v>
      </c>
      <c r="F13" s="20" t="s">
        <v>8</v>
      </c>
      <c r="G13" s="43">
        <v>70</v>
      </c>
      <c r="H13" s="43">
        <v>70</v>
      </c>
      <c r="I13" s="43">
        <v>0</v>
      </c>
      <c r="J13" s="43">
        <v>0</v>
      </c>
      <c r="K13" s="1">
        <f t="shared" ref="K13" si="9">(IF(F13="SELL",G13-H13,IF(F13="BUY",H13-G13)))*E13</f>
        <v>0</v>
      </c>
      <c r="L13" s="43">
        <v>0</v>
      </c>
      <c r="M13" s="43">
        <v>0</v>
      </c>
      <c r="N13" s="1">
        <f t="shared" ref="N13" si="10">(L13+K13+M13)/E13</f>
        <v>0</v>
      </c>
      <c r="O13" s="1">
        <f t="shared" ref="O13" si="11">N13*E13</f>
        <v>0</v>
      </c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</row>
    <row r="14" spans="1:33" s="32" customFormat="1" ht="15" customHeight="1">
      <c r="A14" s="37">
        <v>44376</v>
      </c>
      <c r="B14" s="57" t="s">
        <v>75</v>
      </c>
      <c r="C14" s="20" t="s">
        <v>47</v>
      </c>
      <c r="D14" s="20">
        <v>3600</v>
      </c>
      <c r="E14" s="38">
        <v>250</v>
      </c>
      <c r="F14" s="20" t="s">
        <v>8</v>
      </c>
      <c r="G14" s="43">
        <v>105</v>
      </c>
      <c r="H14" s="43">
        <v>120</v>
      </c>
      <c r="I14" s="43">
        <v>0</v>
      </c>
      <c r="J14" s="43">
        <v>0</v>
      </c>
      <c r="K14" s="1">
        <f t="shared" ref="K14" si="12">(IF(F14="SELL",G14-H14,IF(F14="BUY",H14-G14)))*E14</f>
        <v>3750</v>
      </c>
      <c r="L14" s="43">
        <v>0</v>
      </c>
      <c r="M14" s="43">
        <v>0</v>
      </c>
      <c r="N14" s="1">
        <f t="shared" ref="N14" si="13">(L14+K14+M14)/E14</f>
        <v>15</v>
      </c>
      <c r="O14" s="1">
        <f t="shared" ref="O14" si="14">N14*E14</f>
        <v>3750</v>
      </c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</row>
    <row r="15" spans="1:33" s="32" customFormat="1" ht="15" customHeight="1">
      <c r="A15" s="37">
        <v>44375</v>
      </c>
      <c r="B15" s="57" t="s">
        <v>328</v>
      </c>
      <c r="C15" s="20" t="s">
        <v>46</v>
      </c>
      <c r="D15" s="20">
        <v>520</v>
      </c>
      <c r="E15" s="38">
        <v>1250</v>
      </c>
      <c r="F15" s="20" t="s">
        <v>8</v>
      </c>
      <c r="G15" s="43">
        <v>18.2</v>
      </c>
      <c r="H15" s="43">
        <v>19.5</v>
      </c>
      <c r="I15" s="43">
        <v>0</v>
      </c>
      <c r="J15" s="43">
        <v>0</v>
      </c>
      <c r="K15" s="1">
        <f t="shared" ref="K15" si="15">(IF(F15="SELL",G15-H15,IF(F15="BUY",H15-G15)))*E15</f>
        <v>1625.0000000000009</v>
      </c>
      <c r="L15" s="43">
        <v>0</v>
      </c>
      <c r="M15" s="43">
        <v>0</v>
      </c>
      <c r="N15" s="1">
        <f t="shared" ref="N15" si="16">(L15+K15+M15)/E15</f>
        <v>1.3000000000000007</v>
      </c>
      <c r="O15" s="1">
        <f t="shared" ref="O15" si="17">N15*E15</f>
        <v>1625.0000000000009</v>
      </c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</row>
    <row r="16" spans="1:33" s="32" customFormat="1" ht="15" customHeight="1">
      <c r="A16" s="37">
        <v>44372</v>
      </c>
      <c r="B16" s="57" t="s">
        <v>503</v>
      </c>
      <c r="C16" s="20" t="s">
        <v>47</v>
      </c>
      <c r="D16" s="20">
        <v>175</v>
      </c>
      <c r="E16" s="38">
        <v>3800</v>
      </c>
      <c r="F16" s="20" t="s">
        <v>8</v>
      </c>
      <c r="G16" s="43">
        <v>8.75</v>
      </c>
      <c r="H16" s="43">
        <v>8.75</v>
      </c>
      <c r="I16" s="43">
        <v>0</v>
      </c>
      <c r="J16" s="43">
        <v>0</v>
      </c>
      <c r="K16" s="1">
        <f t="shared" ref="K16" si="18">(IF(F16="SELL",G16-H16,IF(F16="BUY",H16-G16)))*E16</f>
        <v>0</v>
      </c>
      <c r="L16" s="43">
        <v>0</v>
      </c>
      <c r="M16" s="43">
        <v>0</v>
      </c>
      <c r="N16" s="1">
        <f t="shared" ref="N16" si="19">(L16+K16+M16)/E16</f>
        <v>0</v>
      </c>
      <c r="O16" s="1">
        <f t="shared" ref="O16" si="20">N16*E16</f>
        <v>0</v>
      </c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</row>
    <row r="17" spans="1:33" s="32" customFormat="1" ht="15" customHeight="1">
      <c r="A17" s="37">
        <v>44372</v>
      </c>
      <c r="B17" s="57" t="s">
        <v>516</v>
      </c>
      <c r="C17" s="20" t="s">
        <v>47</v>
      </c>
      <c r="D17" s="20">
        <v>2900</v>
      </c>
      <c r="E17" s="38">
        <v>200</v>
      </c>
      <c r="F17" s="20" t="s">
        <v>8</v>
      </c>
      <c r="G17" s="43">
        <v>140</v>
      </c>
      <c r="H17" s="43">
        <v>160</v>
      </c>
      <c r="I17" s="43">
        <v>0</v>
      </c>
      <c r="J17" s="43">
        <v>0</v>
      </c>
      <c r="K17" s="1">
        <f t="shared" ref="K17" si="21">(IF(F17="SELL",G17-H17,IF(F17="BUY",H17-G17)))*E17</f>
        <v>4000</v>
      </c>
      <c r="L17" s="43">
        <v>0</v>
      </c>
      <c r="M17" s="43">
        <v>0</v>
      </c>
      <c r="N17" s="1">
        <f t="shared" ref="N17" si="22">(L17+K17+M17)/E17</f>
        <v>20</v>
      </c>
      <c r="O17" s="1">
        <f t="shared" ref="O17" si="23">N17*E17</f>
        <v>4000</v>
      </c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</row>
    <row r="18" spans="1:33" s="32" customFormat="1" ht="15" customHeight="1">
      <c r="A18" s="37">
        <v>44372</v>
      </c>
      <c r="B18" s="57" t="s">
        <v>125</v>
      </c>
      <c r="C18" s="20" t="s">
        <v>47</v>
      </c>
      <c r="D18" s="20">
        <v>130</v>
      </c>
      <c r="E18" s="38">
        <v>6750</v>
      </c>
      <c r="F18" s="20" t="s">
        <v>8</v>
      </c>
      <c r="G18" s="43">
        <v>4</v>
      </c>
      <c r="H18" s="43">
        <v>3.3</v>
      </c>
      <c r="I18" s="43">
        <v>0</v>
      </c>
      <c r="J18" s="43">
        <v>0</v>
      </c>
      <c r="K18" s="1">
        <f t="shared" ref="K18" si="24">(IF(F18="SELL",G18-H18,IF(F18="BUY",H18-G18)))*E18</f>
        <v>-4725.0000000000009</v>
      </c>
      <c r="L18" s="43">
        <v>0</v>
      </c>
      <c r="M18" s="43">
        <v>0</v>
      </c>
      <c r="N18" s="1">
        <f t="shared" ref="N18" si="25">(L18+K18+M18)/E18</f>
        <v>-0.70000000000000018</v>
      </c>
      <c r="O18" s="1">
        <f t="shared" ref="O18" si="26">N18*E18</f>
        <v>-4725.0000000000009</v>
      </c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</row>
    <row r="19" spans="1:33" s="32" customFormat="1" ht="15" customHeight="1">
      <c r="A19" s="37">
        <v>44371</v>
      </c>
      <c r="B19" s="57" t="s">
        <v>505</v>
      </c>
      <c r="C19" s="20" t="s">
        <v>47</v>
      </c>
      <c r="D19" s="20">
        <v>4100</v>
      </c>
      <c r="E19" s="38">
        <v>200</v>
      </c>
      <c r="F19" s="20" t="s">
        <v>8</v>
      </c>
      <c r="G19" s="43">
        <v>170</v>
      </c>
      <c r="H19" s="43">
        <v>195</v>
      </c>
      <c r="I19" s="43">
        <v>0</v>
      </c>
      <c r="J19" s="43">
        <v>0</v>
      </c>
      <c r="K19" s="1">
        <f t="shared" ref="K19" si="27">(IF(F19="SELL",G19-H19,IF(F19="BUY",H19-G19)))*E19</f>
        <v>5000</v>
      </c>
      <c r="L19" s="43">
        <v>0</v>
      </c>
      <c r="M19" s="43">
        <v>0</v>
      </c>
      <c r="N19" s="1">
        <f t="shared" ref="N19" si="28">(L19+K19+M19)/E19</f>
        <v>25</v>
      </c>
      <c r="O19" s="1">
        <f t="shared" ref="O19" si="29">N19*E19</f>
        <v>5000</v>
      </c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</row>
    <row r="20" spans="1:33" s="32" customFormat="1" ht="15" customHeight="1">
      <c r="A20" s="37">
        <v>44371</v>
      </c>
      <c r="B20" s="57" t="s">
        <v>516</v>
      </c>
      <c r="C20" s="20" t="s">
        <v>47</v>
      </c>
      <c r="D20" s="20">
        <v>2900</v>
      </c>
      <c r="E20" s="38">
        <v>200</v>
      </c>
      <c r="F20" s="20" t="s">
        <v>8</v>
      </c>
      <c r="G20" s="43">
        <v>100</v>
      </c>
      <c r="H20" s="43">
        <v>115</v>
      </c>
      <c r="I20" s="43">
        <v>0</v>
      </c>
      <c r="J20" s="43">
        <v>0</v>
      </c>
      <c r="K20" s="1">
        <f t="shared" ref="K20" si="30">(IF(F20="SELL",G20-H20,IF(F20="BUY",H20-G20)))*E20</f>
        <v>3000</v>
      </c>
      <c r="L20" s="43">
        <v>0</v>
      </c>
      <c r="M20" s="43">
        <v>0</v>
      </c>
      <c r="N20" s="1">
        <f t="shared" ref="N20" si="31">(L20+K20+M20)/E20</f>
        <v>15</v>
      </c>
      <c r="O20" s="1">
        <f t="shared" ref="O20" si="32">N20*E20</f>
        <v>3000</v>
      </c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</row>
    <row r="21" spans="1:33" s="32" customFormat="1" ht="15" customHeight="1">
      <c r="A21" s="37">
        <v>44371</v>
      </c>
      <c r="B21" s="57" t="s">
        <v>420</v>
      </c>
      <c r="C21" s="20" t="s">
        <v>47</v>
      </c>
      <c r="D21" s="20">
        <v>3040</v>
      </c>
      <c r="E21" s="38">
        <v>300</v>
      </c>
      <c r="F21" s="20" t="s">
        <v>8</v>
      </c>
      <c r="G21" s="43">
        <v>75</v>
      </c>
      <c r="H21" s="43">
        <v>85</v>
      </c>
      <c r="I21" s="43">
        <v>0</v>
      </c>
      <c r="J21" s="43">
        <v>0</v>
      </c>
      <c r="K21" s="1">
        <f t="shared" ref="K21" si="33">(IF(F21="SELL",G21-H21,IF(F21="BUY",H21-G21)))*E21</f>
        <v>3000</v>
      </c>
      <c r="L21" s="43">
        <v>0</v>
      </c>
      <c r="M21" s="43">
        <v>0</v>
      </c>
      <c r="N21" s="1">
        <f t="shared" ref="N21" si="34">(L21+K21+M21)/E21</f>
        <v>10</v>
      </c>
      <c r="O21" s="1">
        <f t="shared" ref="O21" si="35">N21*E21</f>
        <v>3000</v>
      </c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</row>
    <row r="22" spans="1:33" s="32" customFormat="1" ht="15" customHeight="1">
      <c r="A22" s="37">
        <v>44370</v>
      </c>
      <c r="B22" s="57" t="s">
        <v>103</v>
      </c>
      <c r="C22" s="20" t="s">
        <v>47</v>
      </c>
      <c r="D22" s="20">
        <v>120</v>
      </c>
      <c r="E22" s="38">
        <v>4500</v>
      </c>
      <c r="F22" s="20" t="s">
        <v>8</v>
      </c>
      <c r="G22" s="43">
        <v>7</v>
      </c>
      <c r="H22" s="43">
        <v>6.3</v>
      </c>
      <c r="I22" s="43">
        <v>0</v>
      </c>
      <c r="J22" s="43">
        <v>0</v>
      </c>
      <c r="K22" s="1">
        <f t="shared" ref="K22" si="36">(IF(F22="SELL",G22-H22,IF(F22="BUY",H22-G22)))*E22</f>
        <v>-3150.0000000000009</v>
      </c>
      <c r="L22" s="43">
        <v>0</v>
      </c>
      <c r="M22" s="43">
        <v>0</v>
      </c>
      <c r="N22" s="1">
        <f t="shared" ref="N22" si="37">(L22+K22+M22)/E22</f>
        <v>-0.70000000000000018</v>
      </c>
      <c r="O22" s="1">
        <f t="shared" ref="O22" si="38">N22*E22</f>
        <v>-3150.0000000000009</v>
      </c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</row>
    <row r="23" spans="1:33" s="32" customFormat="1" ht="15" customHeight="1">
      <c r="A23" s="37">
        <v>44370</v>
      </c>
      <c r="B23" s="57" t="s">
        <v>367</v>
      </c>
      <c r="C23" s="20" t="s">
        <v>47</v>
      </c>
      <c r="D23" s="20">
        <v>230</v>
      </c>
      <c r="E23" s="38">
        <v>2500</v>
      </c>
      <c r="F23" s="20" t="s">
        <v>8</v>
      </c>
      <c r="G23" s="43">
        <v>2</v>
      </c>
      <c r="H23" s="43">
        <v>3</v>
      </c>
      <c r="I23" s="43">
        <v>0</v>
      </c>
      <c r="J23" s="43">
        <v>0</v>
      </c>
      <c r="K23" s="1">
        <f t="shared" ref="K23" si="39">(IF(F23="SELL",G23-H23,IF(F23="BUY",H23-G23)))*E23</f>
        <v>2500</v>
      </c>
      <c r="L23" s="43">
        <v>0</v>
      </c>
      <c r="M23" s="43">
        <v>0</v>
      </c>
      <c r="N23" s="1">
        <f t="shared" ref="N23" si="40">(L23+K23+M23)/E23</f>
        <v>1</v>
      </c>
      <c r="O23" s="1">
        <f t="shared" ref="O23" si="41">N23*E23</f>
        <v>2500</v>
      </c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</row>
    <row r="24" spans="1:33" s="32" customFormat="1" ht="15" customHeight="1">
      <c r="A24" s="37">
        <v>44369</v>
      </c>
      <c r="B24" s="57" t="s">
        <v>128</v>
      </c>
      <c r="C24" s="20" t="s">
        <v>46</v>
      </c>
      <c r="D24" s="20">
        <v>1760</v>
      </c>
      <c r="E24" s="38">
        <v>400</v>
      </c>
      <c r="F24" s="20" t="s">
        <v>8</v>
      </c>
      <c r="G24" s="43">
        <v>15</v>
      </c>
      <c r="H24" s="43">
        <v>15</v>
      </c>
      <c r="I24" s="43">
        <v>0</v>
      </c>
      <c r="J24" s="43">
        <v>0</v>
      </c>
      <c r="K24" s="1">
        <f t="shared" ref="K24" si="42">(IF(F24="SELL",G24-H24,IF(F24="BUY",H24-G24)))*E24</f>
        <v>0</v>
      </c>
      <c r="L24" s="43">
        <v>0</v>
      </c>
      <c r="M24" s="43">
        <v>0</v>
      </c>
      <c r="N24" s="1">
        <f t="shared" ref="N24" si="43">(L24+K24+M24)/E24</f>
        <v>0</v>
      </c>
      <c r="O24" s="1">
        <f t="shared" ref="O24" si="44">N24*E24</f>
        <v>0</v>
      </c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</row>
    <row r="25" spans="1:33" s="32" customFormat="1" ht="15" customHeight="1">
      <c r="A25" s="37">
        <v>44369</v>
      </c>
      <c r="B25" s="57" t="s">
        <v>22</v>
      </c>
      <c r="C25" s="20" t="s">
        <v>46</v>
      </c>
      <c r="D25" s="20">
        <v>295</v>
      </c>
      <c r="E25" s="38">
        <v>3300</v>
      </c>
      <c r="F25" s="20" t="s">
        <v>8</v>
      </c>
      <c r="G25" s="43">
        <v>2.5</v>
      </c>
      <c r="H25" s="43">
        <v>2.5</v>
      </c>
      <c r="I25" s="43">
        <v>0</v>
      </c>
      <c r="J25" s="43">
        <v>0</v>
      </c>
      <c r="K25" s="1">
        <f t="shared" ref="K25" si="45">(IF(F25="SELL",G25-H25,IF(F25="BUY",H25-G25)))*E25</f>
        <v>0</v>
      </c>
      <c r="L25" s="43">
        <v>0</v>
      </c>
      <c r="M25" s="43">
        <v>0</v>
      </c>
      <c r="N25" s="1">
        <f t="shared" ref="N25" si="46">(L25+K25+M25)/E25</f>
        <v>0</v>
      </c>
      <c r="O25" s="1">
        <f t="shared" ref="O25" si="47">N25*E25</f>
        <v>0</v>
      </c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</row>
    <row r="26" spans="1:33" s="32" customFormat="1" ht="15" customHeight="1">
      <c r="A26" s="37">
        <v>44369</v>
      </c>
      <c r="B26" s="57" t="s">
        <v>109</v>
      </c>
      <c r="C26" s="20" t="s">
        <v>47</v>
      </c>
      <c r="D26" s="20">
        <v>540</v>
      </c>
      <c r="E26" s="38">
        <v>1600</v>
      </c>
      <c r="F26" s="20" t="s">
        <v>8</v>
      </c>
      <c r="G26" s="43">
        <v>12</v>
      </c>
      <c r="H26" s="43">
        <v>14</v>
      </c>
      <c r="I26" s="43">
        <v>0</v>
      </c>
      <c r="J26" s="43">
        <v>0</v>
      </c>
      <c r="K26" s="1">
        <f t="shared" ref="K26" si="48">(IF(F26="SELL",G26-H26,IF(F26="BUY",H26-G26)))*E26</f>
        <v>3200</v>
      </c>
      <c r="L26" s="43">
        <v>0</v>
      </c>
      <c r="M26" s="43">
        <v>0</v>
      </c>
      <c r="N26" s="1">
        <f t="shared" ref="N26" si="49">(L26+K26+M26)/E26</f>
        <v>2</v>
      </c>
      <c r="O26" s="1">
        <f t="shared" ref="O26" si="50">N26*E26</f>
        <v>3200</v>
      </c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</row>
    <row r="27" spans="1:33" s="32" customFormat="1" ht="15" customHeight="1">
      <c r="A27" s="37">
        <v>44368</v>
      </c>
      <c r="B27" s="57" t="s">
        <v>16</v>
      </c>
      <c r="C27" s="20" t="s">
        <v>47</v>
      </c>
      <c r="D27" s="20">
        <v>730</v>
      </c>
      <c r="E27" s="38">
        <v>1250</v>
      </c>
      <c r="F27" s="20" t="s">
        <v>8</v>
      </c>
      <c r="G27" s="43">
        <v>23</v>
      </c>
      <c r="H27" s="43">
        <v>26</v>
      </c>
      <c r="I27" s="43">
        <v>0</v>
      </c>
      <c r="J27" s="43">
        <v>0</v>
      </c>
      <c r="K27" s="1">
        <f t="shared" ref="K27" si="51">(IF(F27="SELL",G27-H27,IF(F27="BUY",H27-G27)))*E27</f>
        <v>3750</v>
      </c>
      <c r="L27" s="43">
        <v>0</v>
      </c>
      <c r="M27" s="43">
        <v>0</v>
      </c>
      <c r="N27" s="1">
        <f t="shared" ref="N27" si="52">(L27+K27+M27)/E27</f>
        <v>3</v>
      </c>
      <c r="O27" s="1">
        <f t="shared" ref="O27" si="53">N27*E27</f>
        <v>3750</v>
      </c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</row>
    <row r="28" spans="1:33" s="32" customFormat="1" ht="15" customHeight="1">
      <c r="A28" s="37">
        <v>44368</v>
      </c>
      <c r="B28" s="57" t="s">
        <v>513</v>
      </c>
      <c r="C28" s="20" t="s">
        <v>47</v>
      </c>
      <c r="D28" s="20">
        <v>1780</v>
      </c>
      <c r="E28" s="38">
        <v>850</v>
      </c>
      <c r="F28" s="20" t="s">
        <v>8</v>
      </c>
      <c r="G28" s="43">
        <v>30</v>
      </c>
      <c r="H28" s="43">
        <v>19</v>
      </c>
      <c r="I28" s="43">
        <v>0</v>
      </c>
      <c r="J28" s="43">
        <v>0</v>
      </c>
      <c r="K28" s="1">
        <f t="shared" ref="K28" si="54">(IF(F28="SELL",G28-H28,IF(F28="BUY",H28-G28)))*E28</f>
        <v>-9350</v>
      </c>
      <c r="L28" s="43">
        <v>0</v>
      </c>
      <c r="M28" s="43">
        <v>0</v>
      </c>
      <c r="N28" s="1">
        <f t="shared" ref="N28" si="55">(L28+K28+M28)/E28</f>
        <v>-11</v>
      </c>
      <c r="O28" s="1">
        <f t="shared" ref="O28" si="56">N28*E28</f>
        <v>-9350</v>
      </c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</row>
    <row r="29" spans="1:33" s="32" customFormat="1" ht="15" customHeight="1">
      <c r="A29" s="37">
        <v>44368</v>
      </c>
      <c r="B29" s="57" t="s">
        <v>515</v>
      </c>
      <c r="C29" s="20" t="s">
        <v>47</v>
      </c>
      <c r="D29" s="20">
        <v>2040</v>
      </c>
      <c r="E29" s="38">
        <v>325</v>
      </c>
      <c r="F29" s="20" t="s">
        <v>8</v>
      </c>
      <c r="G29" s="43">
        <v>45</v>
      </c>
      <c r="H29" s="43">
        <v>60</v>
      </c>
      <c r="I29" s="43">
        <v>0</v>
      </c>
      <c r="J29" s="43">
        <v>0</v>
      </c>
      <c r="K29" s="1">
        <f t="shared" ref="K29" si="57">(IF(F29="SELL",G29-H29,IF(F29="BUY",H29-G29)))*E29</f>
        <v>4875</v>
      </c>
      <c r="L29" s="43">
        <v>0</v>
      </c>
      <c r="M29" s="43">
        <v>0</v>
      </c>
      <c r="N29" s="1">
        <f t="shared" ref="N29" si="58">(L29+K29+M29)/E29</f>
        <v>15</v>
      </c>
      <c r="O29" s="1">
        <f t="shared" ref="O29" si="59">N29*E29</f>
        <v>4875</v>
      </c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</row>
    <row r="30" spans="1:33" s="32" customFormat="1" ht="15" customHeight="1">
      <c r="A30" s="37">
        <v>44365</v>
      </c>
      <c r="B30" s="57" t="s">
        <v>461</v>
      </c>
      <c r="C30" s="20" t="s">
        <v>47</v>
      </c>
      <c r="D30" s="20">
        <v>4100</v>
      </c>
      <c r="E30" s="38">
        <v>250</v>
      </c>
      <c r="F30" s="20" t="s">
        <v>8</v>
      </c>
      <c r="G30" s="43">
        <v>75</v>
      </c>
      <c r="H30" s="43">
        <v>84</v>
      </c>
      <c r="I30" s="43">
        <v>0</v>
      </c>
      <c r="J30" s="43">
        <v>0</v>
      </c>
      <c r="K30" s="1">
        <f t="shared" ref="K30" si="60">(IF(F30="SELL",G30-H30,IF(F30="BUY",H30-G30)))*E30</f>
        <v>2250</v>
      </c>
      <c r="L30" s="43">
        <v>0</v>
      </c>
      <c r="M30" s="43">
        <v>0</v>
      </c>
      <c r="N30" s="1">
        <f t="shared" ref="N30" si="61">(L30+K30+M30)/E30</f>
        <v>9</v>
      </c>
      <c r="O30" s="1">
        <f t="shared" ref="O30" si="62">N30*E30</f>
        <v>2250</v>
      </c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</row>
    <row r="31" spans="1:33" s="32" customFormat="1" ht="15" customHeight="1">
      <c r="A31" s="37">
        <v>44365</v>
      </c>
      <c r="B31" s="57" t="s">
        <v>22</v>
      </c>
      <c r="C31" s="20" t="s">
        <v>46</v>
      </c>
      <c r="D31" s="20">
        <v>285</v>
      </c>
      <c r="E31" s="38">
        <v>3300</v>
      </c>
      <c r="F31" s="20" t="s">
        <v>8</v>
      </c>
      <c r="G31" s="43">
        <v>7.5</v>
      </c>
      <c r="H31" s="43">
        <v>9</v>
      </c>
      <c r="I31" s="43">
        <v>0</v>
      </c>
      <c r="J31" s="43">
        <v>0</v>
      </c>
      <c r="K31" s="1">
        <f t="shared" ref="K31" si="63">(IF(F31="SELL",G31-H31,IF(F31="BUY",H31-G31)))*E31</f>
        <v>4950</v>
      </c>
      <c r="L31" s="43">
        <v>0</v>
      </c>
      <c r="M31" s="43">
        <v>0</v>
      </c>
      <c r="N31" s="1">
        <f t="shared" ref="N31" si="64">(L31+K31+M31)/E31</f>
        <v>1.5</v>
      </c>
      <c r="O31" s="1">
        <f t="shared" ref="O31" si="65">N31*E31</f>
        <v>4950</v>
      </c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</row>
    <row r="32" spans="1:33" s="32" customFormat="1" ht="15" customHeight="1">
      <c r="A32" s="37">
        <v>44365</v>
      </c>
      <c r="B32" s="57" t="s">
        <v>420</v>
      </c>
      <c r="C32" s="20" t="s">
        <v>47</v>
      </c>
      <c r="D32" s="20">
        <v>3060</v>
      </c>
      <c r="E32" s="38">
        <v>300</v>
      </c>
      <c r="F32" s="20" t="s">
        <v>8</v>
      </c>
      <c r="G32" s="43">
        <v>50</v>
      </c>
      <c r="H32" s="43">
        <v>39</v>
      </c>
      <c r="I32" s="43">
        <v>0</v>
      </c>
      <c r="J32" s="43">
        <v>0</v>
      </c>
      <c r="K32" s="1">
        <f t="shared" ref="K32" si="66">(IF(F32="SELL",G32-H32,IF(F32="BUY",H32-G32)))*E32</f>
        <v>-3300</v>
      </c>
      <c r="L32" s="43">
        <v>0</v>
      </c>
      <c r="M32" s="43">
        <v>0</v>
      </c>
      <c r="N32" s="1">
        <f t="shared" ref="N32" si="67">(L32+K32+M32)/E32</f>
        <v>-11</v>
      </c>
      <c r="O32" s="1">
        <f t="shared" ref="O32" si="68">N32*E32</f>
        <v>-3300</v>
      </c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</row>
    <row r="33" spans="1:33" s="32" customFormat="1" ht="15" customHeight="1">
      <c r="A33" s="37">
        <v>44364</v>
      </c>
      <c r="B33" s="57" t="s">
        <v>514</v>
      </c>
      <c r="C33" s="20" t="s">
        <v>47</v>
      </c>
      <c r="D33" s="20">
        <v>132.5</v>
      </c>
      <c r="E33" s="38">
        <v>9500</v>
      </c>
      <c r="F33" s="20" t="s">
        <v>8</v>
      </c>
      <c r="G33" s="43">
        <v>4.3</v>
      </c>
      <c r="H33" s="43">
        <v>5</v>
      </c>
      <c r="I33" s="43">
        <v>0</v>
      </c>
      <c r="J33" s="43">
        <v>0</v>
      </c>
      <c r="K33" s="1">
        <f t="shared" ref="K33" si="69">(IF(F33="SELL",G33-H33,IF(F33="BUY",H33-G33)))*E33</f>
        <v>6650.0000000000018</v>
      </c>
      <c r="L33" s="43">
        <v>0</v>
      </c>
      <c r="M33" s="43">
        <v>0</v>
      </c>
      <c r="N33" s="1">
        <f t="shared" ref="N33" si="70">(L33+K33+M33)/E33</f>
        <v>0.70000000000000018</v>
      </c>
      <c r="O33" s="1">
        <f t="shared" ref="O33" si="71">N33*E33</f>
        <v>6650.0000000000018</v>
      </c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</row>
    <row r="34" spans="1:33" s="32" customFormat="1" ht="15" customHeight="1">
      <c r="A34" s="37">
        <v>44364</v>
      </c>
      <c r="B34" s="57" t="s">
        <v>420</v>
      </c>
      <c r="C34" s="20" t="s">
        <v>47</v>
      </c>
      <c r="D34" s="20">
        <v>3060</v>
      </c>
      <c r="E34" s="38">
        <v>300</v>
      </c>
      <c r="F34" s="20" t="s">
        <v>8</v>
      </c>
      <c r="G34" s="43">
        <v>53</v>
      </c>
      <c r="H34" s="43">
        <v>60</v>
      </c>
      <c r="I34" s="43">
        <v>0</v>
      </c>
      <c r="J34" s="43">
        <v>0</v>
      </c>
      <c r="K34" s="1">
        <f t="shared" ref="K34" si="72">(IF(F34="SELL",G34-H34,IF(F34="BUY",H34-G34)))*E34</f>
        <v>2100</v>
      </c>
      <c r="L34" s="43">
        <v>0</v>
      </c>
      <c r="M34" s="43">
        <v>0</v>
      </c>
      <c r="N34" s="1">
        <f t="shared" ref="N34" si="73">(L34+K34+M34)/E34</f>
        <v>7</v>
      </c>
      <c r="O34" s="1">
        <f t="shared" ref="O34" si="74">N34*E34</f>
        <v>2100</v>
      </c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</row>
    <row r="35" spans="1:33" s="32" customFormat="1" ht="15" customHeight="1">
      <c r="A35" s="37">
        <v>44363</v>
      </c>
      <c r="B35" s="57" t="s">
        <v>270</v>
      </c>
      <c r="C35" s="20" t="s">
        <v>46</v>
      </c>
      <c r="D35" s="20">
        <v>390</v>
      </c>
      <c r="E35" s="38">
        <v>2500</v>
      </c>
      <c r="F35" s="20" t="s">
        <v>8</v>
      </c>
      <c r="G35" s="43">
        <v>8</v>
      </c>
      <c r="H35" s="43">
        <v>8</v>
      </c>
      <c r="I35" s="43">
        <v>0</v>
      </c>
      <c r="J35" s="43">
        <v>0</v>
      </c>
      <c r="K35" s="1">
        <f t="shared" ref="K35" si="75">(IF(F35="SELL",G35-H35,IF(F35="BUY",H35-G35)))*E35</f>
        <v>0</v>
      </c>
      <c r="L35" s="43">
        <v>0</v>
      </c>
      <c r="M35" s="43">
        <v>0</v>
      </c>
      <c r="N35" s="1">
        <f t="shared" ref="N35" si="76">(L35+K35+M35)/E35</f>
        <v>0</v>
      </c>
      <c r="O35" s="1">
        <f t="shared" ref="O35" si="77">N35*E35</f>
        <v>0</v>
      </c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</row>
    <row r="36" spans="1:33" s="32" customFormat="1" ht="15" customHeight="1">
      <c r="A36" s="37">
        <v>44363</v>
      </c>
      <c r="B36" s="57" t="s">
        <v>71</v>
      </c>
      <c r="C36" s="20" t="s">
        <v>46</v>
      </c>
      <c r="D36" s="20">
        <v>700</v>
      </c>
      <c r="E36" s="38">
        <v>1350</v>
      </c>
      <c r="F36" s="20" t="s">
        <v>8</v>
      </c>
      <c r="G36" s="43">
        <v>18.5</v>
      </c>
      <c r="H36" s="43">
        <v>21.2</v>
      </c>
      <c r="I36" s="43">
        <v>0</v>
      </c>
      <c r="J36" s="43">
        <v>0</v>
      </c>
      <c r="K36" s="1">
        <f t="shared" ref="K36" si="78">(IF(F36="SELL",G36-H36,IF(F36="BUY",H36-G36)))*E36</f>
        <v>3644.9999999999991</v>
      </c>
      <c r="L36" s="43">
        <v>0</v>
      </c>
      <c r="M36" s="43">
        <v>0</v>
      </c>
      <c r="N36" s="1">
        <f t="shared" ref="N36" si="79">(L36+K36+M36)/E36</f>
        <v>2.6999999999999993</v>
      </c>
      <c r="O36" s="1">
        <f t="shared" ref="O36" si="80">N36*E36</f>
        <v>3644.9999999999991</v>
      </c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</row>
    <row r="37" spans="1:33" s="32" customFormat="1" ht="15" customHeight="1">
      <c r="A37" s="37">
        <v>44362</v>
      </c>
      <c r="B37" s="57" t="s">
        <v>24</v>
      </c>
      <c r="C37" s="20" t="s">
        <v>47</v>
      </c>
      <c r="D37" s="20">
        <v>360</v>
      </c>
      <c r="E37" s="38">
        <v>2850</v>
      </c>
      <c r="F37" s="20" t="s">
        <v>8</v>
      </c>
      <c r="G37" s="43">
        <v>12</v>
      </c>
      <c r="H37" s="43">
        <v>13</v>
      </c>
      <c r="I37" s="43">
        <v>0</v>
      </c>
      <c r="J37" s="43">
        <v>0</v>
      </c>
      <c r="K37" s="1">
        <f t="shared" ref="K37" si="81">(IF(F37="SELL",G37-H37,IF(F37="BUY",H37-G37)))*E37</f>
        <v>2850</v>
      </c>
      <c r="L37" s="43">
        <v>0</v>
      </c>
      <c r="M37" s="43">
        <v>0</v>
      </c>
      <c r="N37" s="1">
        <f t="shared" ref="N37" si="82">(L37+K37+M37)/E37</f>
        <v>1</v>
      </c>
      <c r="O37" s="1">
        <f t="shared" ref="O37" si="83">N37*E37</f>
        <v>2850</v>
      </c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</row>
    <row r="38" spans="1:33" s="32" customFormat="1" ht="15" customHeight="1">
      <c r="A38" s="37">
        <v>44362</v>
      </c>
      <c r="B38" s="57" t="s">
        <v>420</v>
      </c>
      <c r="C38" s="20" t="s">
        <v>47</v>
      </c>
      <c r="D38" s="20">
        <v>3000</v>
      </c>
      <c r="E38" s="38">
        <v>300</v>
      </c>
      <c r="F38" s="20" t="s">
        <v>8</v>
      </c>
      <c r="G38" s="43">
        <v>55</v>
      </c>
      <c r="H38" s="43">
        <v>70</v>
      </c>
      <c r="I38" s="43">
        <v>0</v>
      </c>
      <c r="J38" s="43">
        <v>0</v>
      </c>
      <c r="K38" s="1">
        <f t="shared" ref="K38" si="84">(IF(F38="SELL",G38-H38,IF(F38="BUY",H38-G38)))*E38</f>
        <v>4500</v>
      </c>
      <c r="L38" s="43">
        <v>0</v>
      </c>
      <c r="M38" s="43">
        <v>0</v>
      </c>
      <c r="N38" s="1">
        <f t="shared" ref="N38" si="85">(L38+K38+M38)/E38</f>
        <v>15</v>
      </c>
      <c r="O38" s="1">
        <f t="shared" ref="O38" si="86">N38*E38</f>
        <v>4500</v>
      </c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</row>
    <row r="39" spans="1:33" s="32" customFormat="1" ht="15" customHeight="1">
      <c r="A39" s="37">
        <v>44361</v>
      </c>
      <c r="B39" s="57" t="s">
        <v>514</v>
      </c>
      <c r="C39" s="20" t="s">
        <v>47</v>
      </c>
      <c r="D39" s="20">
        <v>137.5</v>
      </c>
      <c r="E39" s="38">
        <v>9500</v>
      </c>
      <c r="F39" s="20" t="s">
        <v>8</v>
      </c>
      <c r="G39" s="43">
        <v>6</v>
      </c>
      <c r="H39" s="43">
        <v>6.45</v>
      </c>
      <c r="I39" s="43">
        <v>0</v>
      </c>
      <c r="J39" s="43">
        <v>0</v>
      </c>
      <c r="K39" s="1">
        <f t="shared" ref="K39" si="87">(IF(F39="SELL",G39-H39,IF(F39="BUY",H39-G39)))*E39</f>
        <v>4275.0000000000018</v>
      </c>
      <c r="L39" s="43">
        <v>0</v>
      </c>
      <c r="M39" s="43">
        <v>0</v>
      </c>
      <c r="N39" s="1">
        <f t="shared" ref="N39" si="88">(L39+K39+M39)/E39</f>
        <v>0.45000000000000018</v>
      </c>
      <c r="O39" s="1">
        <f t="shared" ref="O39" si="89">N39*E39</f>
        <v>4275.0000000000018</v>
      </c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</row>
    <row r="40" spans="1:33" s="32" customFormat="1" ht="15" customHeight="1">
      <c r="A40" s="37">
        <v>44361</v>
      </c>
      <c r="B40" s="57" t="s">
        <v>26</v>
      </c>
      <c r="C40" s="20" t="s">
        <v>47</v>
      </c>
      <c r="D40" s="20">
        <v>1180</v>
      </c>
      <c r="E40" s="38">
        <v>850</v>
      </c>
      <c r="F40" s="20" t="s">
        <v>8</v>
      </c>
      <c r="G40" s="43">
        <v>30</v>
      </c>
      <c r="H40" s="43">
        <v>26.5</v>
      </c>
      <c r="I40" s="43">
        <v>0</v>
      </c>
      <c r="J40" s="43">
        <v>0</v>
      </c>
      <c r="K40" s="1">
        <f t="shared" ref="K40" si="90">(IF(F40="SELL",G40-H40,IF(F40="BUY",H40-G40)))*E40</f>
        <v>-2975</v>
      </c>
      <c r="L40" s="43">
        <v>0</v>
      </c>
      <c r="M40" s="43">
        <v>0</v>
      </c>
      <c r="N40" s="1">
        <f t="shared" ref="N40" si="91">(L40+K40+M40)/E40</f>
        <v>-3.5</v>
      </c>
      <c r="O40" s="1">
        <f t="shared" ref="O40" si="92">N40*E40</f>
        <v>-2975</v>
      </c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</row>
    <row r="41" spans="1:33" s="32" customFormat="1" ht="15" customHeight="1">
      <c r="A41" s="37">
        <v>44358</v>
      </c>
      <c r="B41" s="57" t="s">
        <v>505</v>
      </c>
      <c r="C41" s="20" t="s">
        <v>47</v>
      </c>
      <c r="D41" s="20">
        <v>3950</v>
      </c>
      <c r="E41" s="38">
        <v>200</v>
      </c>
      <c r="F41" s="20" t="s">
        <v>8</v>
      </c>
      <c r="G41" s="43">
        <v>144</v>
      </c>
      <c r="H41" s="43">
        <v>160</v>
      </c>
      <c r="I41" s="43">
        <v>0</v>
      </c>
      <c r="J41" s="43">
        <v>0</v>
      </c>
      <c r="K41" s="1">
        <f t="shared" ref="K41" si="93">(IF(F41="SELL",G41-H41,IF(F41="BUY",H41-G41)))*E41</f>
        <v>3200</v>
      </c>
      <c r="L41" s="43">
        <v>0</v>
      </c>
      <c r="M41" s="43">
        <v>0</v>
      </c>
      <c r="N41" s="1">
        <f t="shared" ref="N41" si="94">(L41+K41+M41)/E41</f>
        <v>16</v>
      </c>
      <c r="O41" s="1">
        <f t="shared" ref="O41" si="95">N41*E41</f>
        <v>3200</v>
      </c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</row>
    <row r="42" spans="1:33" s="32" customFormat="1" ht="15" customHeight="1">
      <c r="A42" s="37">
        <v>44358</v>
      </c>
      <c r="B42" s="57" t="s">
        <v>505</v>
      </c>
      <c r="C42" s="20" t="s">
        <v>47</v>
      </c>
      <c r="D42" s="20">
        <v>3900</v>
      </c>
      <c r="E42" s="38">
        <v>200</v>
      </c>
      <c r="F42" s="20" t="s">
        <v>8</v>
      </c>
      <c r="G42" s="43">
        <v>160</v>
      </c>
      <c r="H42" s="43">
        <v>175</v>
      </c>
      <c r="I42" s="43">
        <v>0</v>
      </c>
      <c r="J42" s="43">
        <v>0</v>
      </c>
      <c r="K42" s="1">
        <f t="shared" ref="K42" si="96">(IF(F42="SELL",G42-H42,IF(F42="BUY",H42-G42)))*E42</f>
        <v>3000</v>
      </c>
      <c r="L42" s="43">
        <v>0</v>
      </c>
      <c r="M42" s="43">
        <v>0</v>
      </c>
      <c r="N42" s="1">
        <f t="shared" ref="N42" si="97">(L42+K42+M42)/E42</f>
        <v>15</v>
      </c>
      <c r="O42" s="1">
        <f t="shared" ref="O42" si="98">N42*E42</f>
        <v>3000</v>
      </c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</row>
    <row r="43" spans="1:33" s="32" customFormat="1" ht="15" customHeight="1">
      <c r="A43" s="37">
        <v>44357</v>
      </c>
      <c r="B43" s="57" t="s">
        <v>109</v>
      </c>
      <c r="C43" s="20" t="s">
        <v>47</v>
      </c>
      <c r="D43" s="20">
        <v>550</v>
      </c>
      <c r="E43" s="38">
        <v>1600</v>
      </c>
      <c r="F43" s="20" t="s">
        <v>8</v>
      </c>
      <c r="G43" s="43">
        <v>15</v>
      </c>
      <c r="H43" s="43">
        <v>15</v>
      </c>
      <c r="I43" s="43">
        <v>0</v>
      </c>
      <c r="J43" s="43">
        <v>0</v>
      </c>
      <c r="K43" s="1">
        <f t="shared" ref="K43" si="99">(IF(F43="SELL",G43-H43,IF(F43="BUY",H43-G43)))*E43</f>
        <v>0</v>
      </c>
      <c r="L43" s="43">
        <v>0</v>
      </c>
      <c r="M43" s="43">
        <v>0</v>
      </c>
      <c r="N43" s="1">
        <f t="shared" ref="N43" si="100">(L43+K43+M43)/E43</f>
        <v>0</v>
      </c>
      <c r="O43" s="1">
        <f t="shared" ref="O43" si="101">N43*E43</f>
        <v>0</v>
      </c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</row>
    <row r="44" spans="1:33" s="32" customFormat="1" ht="15" customHeight="1">
      <c r="A44" s="37">
        <v>44357</v>
      </c>
      <c r="B44" s="57" t="s">
        <v>336</v>
      </c>
      <c r="C44" s="20" t="s">
        <v>47</v>
      </c>
      <c r="D44" s="20">
        <v>2280</v>
      </c>
      <c r="E44" s="38">
        <v>400</v>
      </c>
      <c r="F44" s="20" t="s">
        <v>8</v>
      </c>
      <c r="G44" s="43">
        <v>63</v>
      </c>
      <c r="H44" s="43">
        <v>70</v>
      </c>
      <c r="I44" s="43">
        <v>0</v>
      </c>
      <c r="J44" s="43">
        <v>0</v>
      </c>
      <c r="K44" s="1">
        <f t="shared" ref="K44" si="102">(IF(F44="SELL",G44-H44,IF(F44="BUY",H44-G44)))*E44</f>
        <v>2800</v>
      </c>
      <c r="L44" s="43">
        <v>0</v>
      </c>
      <c r="M44" s="43">
        <v>0</v>
      </c>
      <c r="N44" s="1">
        <f t="shared" ref="N44" si="103">(L44+K44+M44)/E44</f>
        <v>7</v>
      </c>
      <c r="O44" s="1">
        <f t="shared" ref="O44" si="104">N44*E44</f>
        <v>2800</v>
      </c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</row>
    <row r="45" spans="1:33" s="32" customFormat="1" ht="15" customHeight="1">
      <c r="A45" s="37">
        <v>44356</v>
      </c>
      <c r="B45" s="57" t="s">
        <v>326</v>
      </c>
      <c r="C45" s="20" t="s">
        <v>47</v>
      </c>
      <c r="D45" s="20">
        <v>240</v>
      </c>
      <c r="E45" s="38">
        <v>4000</v>
      </c>
      <c r="F45" s="20" t="s">
        <v>8</v>
      </c>
      <c r="G45" s="43">
        <v>7</v>
      </c>
      <c r="H45" s="43">
        <v>8</v>
      </c>
      <c r="I45" s="43">
        <v>0</v>
      </c>
      <c r="J45" s="43">
        <v>0</v>
      </c>
      <c r="K45" s="1">
        <f t="shared" ref="K45" si="105">(IF(F45="SELL",G45-H45,IF(F45="BUY",H45-G45)))*E45</f>
        <v>4000</v>
      </c>
      <c r="L45" s="43">
        <v>0</v>
      </c>
      <c r="M45" s="43">
        <v>0</v>
      </c>
      <c r="N45" s="1">
        <f t="shared" ref="N45" si="106">(L45+K45+M45)/E45</f>
        <v>1</v>
      </c>
      <c r="O45" s="1">
        <f t="shared" ref="O45" si="107">N45*E45</f>
        <v>4000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</row>
    <row r="46" spans="1:33" s="32" customFormat="1" ht="15" customHeight="1">
      <c r="A46" s="37">
        <v>44356</v>
      </c>
      <c r="B46" s="57" t="s">
        <v>420</v>
      </c>
      <c r="C46" s="20" t="s">
        <v>47</v>
      </c>
      <c r="D46" s="20">
        <v>2960</v>
      </c>
      <c r="E46" s="38">
        <v>300</v>
      </c>
      <c r="F46" s="20" t="s">
        <v>8</v>
      </c>
      <c r="G46" s="43">
        <v>57.5</v>
      </c>
      <c r="H46" s="43">
        <v>65</v>
      </c>
      <c r="I46" s="43">
        <v>0</v>
      </c>
      <c r="J46" s="43">
        <v>0</v>
      </c>
      <c r="K46" s="1">
        <f t="shared" ref="K46" si="108">(IF(F46="SELL",G46-H46,IF(F46="BUY",H46-G46)))*E46</f>
        <v>2250</v>
      </c>
      <c r="L46" s="43">
        <v>0</v>
      </c>
      <c r="M46" s="43">
        <v>0</v>
      </c>
      <c r="N46" s="1">
        <f t="shared" ref="N46" si="109">(L46+K46+M46)/E46</f>
        <v>7.5</v>
      </c>
      <c r="O46" s="1">
        <f t="shared" ref="O46" si="110">N46*E46</f>
        <v>2250</v>
      </c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</row>
    <row r="47" spans="1:33" s="32" customFormat="1" ht="15" customHeight="1">
      <c r="A47" s="37">
        <v>44355</v>
      </c>
      <c r="B47" s="57" t="s">
        <v>513</v>
      </c>
      <c r="C47" s="20" t="s">
        <v>47</v>
      </c>
      <c r="D47" s="20">
        <v>1760</v>
      </c>
      <c r="E47" s="38">
        <v>850</v>
      </c>
      <c r="F47" s="20" t="s">
        <v>8</v>
      </c>
      <c r="G47" s="43">
        <v>50</v>
      </c>
      <c r="H47" s="43">
        <v>59</v>
      </c>
      <c r="I47" s="43">
        <v>0</v>
      </c>
      <c r="J47" s="43">
        <v>0</v>
      </c>
      <c r="K47" s="1">
        <f t="shared" ref="K47" si="111">(IF(F47="SELL",G47-H47,IF(F47="BUY",H47-G47)))*E47</f>
        <v>7650</v>
      </c>
      <c r="L47" s="43">
        <v>0</v>
      </c>
      <c r="M47" s="43">
        <v>0</v>
      </c>
      <c r="N47" s="1">
        <f t="shared" ref="N47" si="112">(L47+K47+M47)/E47</f>
        <v>9</v>
      </c>
      <c r="O47" s="1">
        <f t="shared" ref="O47" si="113">N47*E47</f>
        <v>7650</v>
      </c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</row>
    <row r="48" spans="1:33" s="32" customFormat="1" ht="15" customHeight="1">
      <c r="A48" s="37">
        <v>44355</v>
      </c>
      <c r="B48" s="57" t="s">
        <v>109</v>
      </c>
      <c r="C48" s="20" t="s">
        <v>47</v>
      </c>
      <c r="D48" s="20">
        <v>550</v>
      </c>
      <c r="E48" s="38">
        <v>1600</v>
      </c>
      <c r="F48" s="20" t="s">
        <v>8</v>
      </c>
      <c r="G48" s="43">
        <v>16</v>
      </c>
      <c r="H48" s="43">
        <v>14.5</v>
      </c>
      <c r="I48" s="43">
        <v>0</v>
      </c>
      <c r="J48" s="43">
        <v>0</v>
      </c>
      <c r="K48" s="1">
        <f t="shared" ref="K48" si="114">(IF(F48="SELL",G48-H48,IF(F48="BUY",H48-G48)))*E48</f>
        <v>-2400</v>
      </c>
      <c r="L48" s="43">
        <v>0</v>
      </c>
      <c r="M48" s="43">
        <v>0</v>
      </c>
      <c r="N48" s="1">
        <f t="shared" ref="N48" si="115">(L48+K48+M48)/E48</f>
        <v>-1.5</v>
      </c>
      <c r="O48" s="1">
        <f t="shared" ref="O48" si="116">N48*E48</f>
        <v>-2400</v>
      </c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</row>
    <row r="49" spans="1:33" s="32" customFormat="1" ht="15" customHeight="1">
      <c r="A49" s="37">
        <v>44354</v>
      </c>
      <c r="B49" s="57" t="s">
        <v>109</v>
      </c>
      <c r="C49" s="20" t="s">
        <v>47</v>
      </c>
      <c r="D49" s="20">
        <v>550</v>
      </c>
      <c r="E49" s="38">
        <v>1600</v>
      </c>
      <c r="F49" s="20" t="s">
        <v>8</v>
      </c>
      <c r="G49" s="43">
        <v>14</v>
      </c>
      <c r="H49" s="43">
        <v>16</v>
      </c>
      <c r="I49" s="43">
        <v>0</v>
      </c>
      <c r="J49" s="43">
        <v>0</v>
      </c>
      <c r="K49" s="1">
        <f t="shared" ref="K49" si="117">(IF(F49="SELL",G49-H49,IF(F49="BUY",H49-G49)))*E49</f>
        <v>3200</v>
      </c>
      <c r="L49" s="43">
        <v>0</v>
      </c>
      <c r="M49" s="43">
        <v>0</v>
      </c>
      <c r="N49" s="1">
        <f t="shared" ref="N49" si="118">(L49+K49+M49)/E49</f>
        <v>2</v>
      </c>
      <c r="O49" s="1">
        <f t="shared" ref="O49" si="119">N49*E49</f>
        <v>3200</v>
      </c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</row>
    <row r="50" spans="1:33" s="32" customFormat="1" ht="15" customHeight="1">
      <c r="A50" s="37">
        <v>44354</v>
      </c>
      <c r="B50" s="57" t="s">
        <v>300</v>
      </c>
      <c r="C50" s="20" t="s">
        <v>47</v>
      </c>
      <c r="D50" s="20">
        <v>175</v>
      </c>
      <c r="E50" s="38">
        <v>4000</v>
      </c>
      <c r="F50" s="20" t="s">
        <v>8</v>
      </c>
      <c r="G50" s="43">
        <v>6.4</v>
      </c>
      <c r="H50" s="43">
        <v>6.8</v>
      </c>
      <c r="I50" s="43">
        <v>0</v>
      </c>
      <c r="J50" s="43">
        <v>0</v>
      </c>
      <c r="K50" s="1">
        <f t="shared" ref="K50" si="120">(IF(F50="SELL",G50-H50,IF(F50="BUY",H50-G50)))*E50</f>
        <v>1599.999999999998</v>
      </c>
      <c r="L50" s="43">
        <v>0</v>
      </c>
      <c r="M50" s="43">
        <v>0</v>
      </c>
      <c r="N50" s="1">
        <f t="shared" ref="N50" si="121">(L50+K50+M50)/E50</f>
        <v>0.39999999999999947</v>
      </c>
      <c r="O50" s="1">
        <f t="shared" ref="O50" si="122">N50*E50</f>
        <v>1599.999999999998</v>
      </c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</row>
    <row r="51" spans="1:33" s="32" customFormat="1" ht="15" customHeight="1">
      <c r="A51" s="37">
        <v>44354</v>
      </c>
      <c r="B51" s="57" t="s">
        <v>17</v>
      </c>
      <c r="C51" s="20" t="s">
        <v>47</v>
      </c>
      <c r="D51" s="20">
        <v>740</v>
      </c>
      <c r="E51" s="38">
        <v>1200</v>
      </c>
      <c r="F51" s="20" t="s">
        <v>8</v>
      </c>
      <c r="G51" s="43">
        <v>25.5</v>
      </c>
      <c r="H51" s="43">
        <v>26.9</v>
      </c>
      <c r="I51" s="43">
        <v>0</v>
      </c>
      <c r="J51" s="43">
        <v>0</v>
      </c>
      <c r="K51" s="1">
        <f t="shared" ref="K51" si="123">(IF(F51="SELL",G51-H51,IF(F51="BUY",H51-G51)))*E51</f>
        <v>1679.9999999999982</v>
      </c>
      <c r="L51" s="43">
        <v>0</v>
      </c>
      <c r="M51" s="43">
        <v>0</v>
      </c>
      <c r="N51" s="1">
        <f t="shared" ref="N51" si="124">(L51+K51+M51)/E51</f>
        <v>1.3999999999999986</v>
      </c>
      <c r="O51" s="1">
        <f t="shared" ref="O51" si="125">N51*E51</f>
        <v>1679.9999999999982</v>
      </c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</row>
    <row r="52" spans="1:33" s="32" customFormat="1" ht="15" customHeight="1">
      <c r="A52" s="37">
        <v>44351</v>
      </c>
      <c r="B52" s="57" t="s">
        <v>71</v>
      </c>
      <c r="C52" s="20" t="s">
        <v>47</v>
      </c>
      <c r="D52" s="20">
        <v>725</v>
      </c>
      <c r="E52" s="38">
        <v>1350</v>
      </c>
      <c r="F52" s="20" t="s">
        <v>8</v>
      </c>
      <c r="G52" s="43">
        <v>27</v>
      </c>
      <c r="H52" s="43">
        <v>29.5</v>
      </c>
      <c r="I52" s="43">
        <v>0</v>
      </c>
      <c r="J52" s="43">
        <v>0</v>
      </c>
      <c r="K52" s="1">
        <f t="shared" ref="K52" si="126">(IF(F52="SELL",G52-H52,IF(F52="BUY",H52-G52)))*E52</f>
        <v>3375</v>
      </c>
      <c r="L52" s="43">
        <v>0</v>
      </c>
      <c r="M52" s="43">
        <v>0</v>
      </c>
      <c r="N52" s="1">
        <f t="shared" ref="N52" si="127">(L52+K52+M52)/E52</f>
        <v>2.5</v>
      </c>
      <c r="O52" s="1">
        <f t="shared" ref="O52" si="128">N52*E52</f>
        <v>3375</v>
      </c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</row>
    <row r="53" spans="1:33" s="32" customFormat="1" ht="15" customHeight="1">
      <c r="A53" s="37">
        <v>44351</v>
      </c>
      <c r="B53" s="57" t="s">
        <v>409</v>
      </c>
      <c r="C53" s="20" t="s">
        <v>47</v>
      </c>
      <c r="D53" s="20">
        <v>95</v>
      </c>
      <c r="E53" s="38">
        <v>8924</v>
      </c>
      <c r="F53" s="20" t="s">
        <v>8</v>
      </c>
      <c r="G53" s="43">
        <v>5.5</v>
      </c>
      <c r="H53" s="43">
        <v>6</v>
      </c>
      <c r="I53" s="43">
        <v>0</v>
      </c>
      <c r="J53" s="43">
        <v>0</v>
      </c>
      <c r="K53" s="1">
        <f t="shared" ref="K53" si="129">(IF(F53="SELL",G53-H53,IF(F53="BUY",H53-G53)))*E53</f>
        <v>4462</v>
      </c>
      <c r="L53" s="43">
        <v>0</v>
      </c>
      <c r="M53" s="43">
        <v>0</v>
      </c>
      <c r="N53" s="1">
        <f t="shared" ref="N53" si="130">(L53+K53+M53)/E53</f>
        <v>0.5</v>
      </c>
      <c r="O53" s="1">
        <f t="shared" ref="O53" si="131">N53*E53</f>
        <v>4462</v>
      </c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</row>
    <row r="54" spans="1:33" s="32" customFormat="1" ht="15" customHeight="1">
      <c r="A54" s="37">
        <v>44351</v>
      </c>
      <c r="B54" s="57" t="s">
        <v>499</v>
      </c>
      <c r="C54" s="20" t="s">
        <v>46</v>
      </c>
      <c r="D54" s="20">
        <v>300</v>
      </c>
      <c r="E54" s="38">
        <v>1800</v>
      </c>
      <c r="F54" s="20" t="s">
        <v>8</v>
      </c>
      <c r="G54" s="43">
        <v>6.5</v>
      </c>
      <c r="H54" s="43">
        <v>5.7</v>
      </c>
      <c r="I54" s="43">
        <v>0</v>
      </c>
      <c r="J54" s="43">
        <v>0</v>
      </c>
      <c r="K54" s="1">
        <f t="shared" ref="K54" si="132">(IF(F54="SELL",G54-H54,IF(F54="BUY",H54-G54)))*E54</f>
        <v>-1439.9999999999998</v>
      </c>
      <c r="L54" s="43">
        <v>0</v>
      </c>
      <c r="M54" s="43">
        <v>0</v>
      </c>
      <c r="N54" s="1">
        <f t="shared" ref="N54" si="133">(L54+K54+M54)/E54</f>
        <v>-0.79999999999999982</v>
      </c>
      <c r="O54" s="1">
        <f t="shared" ref="O54" si="134">N54*E54</f>
        <v>-1439.9999999999998</v>
      </c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</row>
    <row r="55" spans="1:33" s="32" customFormat="1" ht="15" customHeight="1">
      <c r="A55" s="37">
        <v>44351</v>
      </c>
      <c r="B55" s="57" t="s">
        <v>367</v>
      </c>
      <c r="C55" s="20" t="s">
        <v>47</v>
      </c>
      <c r="D55" s="20">
        <v>230</v>
      </c>
      <c r="E55" s="38">
        <v>2500</v>
      </c>
      <c r="F55" s="20" t="s">
        <v>8</v>
      </c>
      <c r="G55" s="43">
        <v>11</v>
      </c>
      <c r="H55" s="43">
        <v>10</v>
      </c>
      <c r="I55" s="43">
        <v>0</v>
      </c>
      <c r="J55" s="43">
        <v>0</v>
      </c>
      <c r="K55" s="1">
        <f t="shared" ref="K55" si="135">(IF(F55="SELL",G55-H55,IF(F55="BUY",H55-G55)))*E55</f>
        <v>-2500</v>
      </c>
      <c r="L55" s="43">
        <v>0</v>
      </c>
      <c r="M55" s="43">
        <v>0</v>
      </c>
      <c r="N55" s="1">
        <f t="shared" ref="N55" si="136">(L55+K55+M55)/E55</f>
        <v>-1</v>
      </c>
      <c r="O55" s="1">
        <f t="shared" ref="O55" si="137">N55*E55</f>
        <v>-2500</v>
      </c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</row>
    <row r="56" spans="1:33" s="32" customFormat="1" ht="15" customHeight="1">
      <c r="A56" s="37">
        <v>44351</v>
      </c>
      <c r="B56" s="57" t="s">
        <v>300</v>
      </c>
      <c r="C56" s="20" t="s">
        <v>47</v>
      </c>
      <c r="D56" s="20">
        <v>170</v>
      </c>
      <c r="E56" s="38">
        <v>4000</v>
      </c>
      <c r="F56" s="20" t="s">
        <v>8</v>
      </c>
      <c r="G56" s="43">
        <v>6.8</v>
      </c>
      <c r="H56" s="43">
        <v>8.5</v>
      </c>
      <c r="I56" s="43">
        <v>0</v>
      </c>
      <c r="J56" s="43">
        <v>0</v>
      </c>
      <c r="K56" s="1">
        <f t="shared" ref="K56" si="138">(IF(F56="SELL",G56-H56,IF(F56="BUY",H56-G56)))*E56</f>
        <v>6800.0000000000009</v>
      </c>
      <c r="L56" s="43">
        <v>0</v>
      </c>
      <c r="M56" s="43">
        <v>0</v>
      </c>
      <c r="N56" s="1">
        <f t="shared" ref="N56" si="139">(L56+K56+M56)/E56</f>
        <v>1.7000000000000002</v>
      </c>
      <c r="O56" s="1">
        <f t="shared" ref="O56" si="140">N56*E56</f>
        <v>6800.0000000000009</v>
      </c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</row>
    <row r="57" spans="1:33" s="32" customFormat="1" ht="15" customHeight="1">
      <c r="A57" s="37">
        <v>44350</v>
      </c>
      <c r="B57" s="57" t="s">
        <v>512</v>
      </c>
      <c r="C57" s="20" t="s">
        <v>47</v>
      </c>
      <c r="D57" s="20">
        <v>330</v>
      </c>
      <c r="E57" s="38">
        <v>1550</v>
      </c>
      <c r="F57" s="20" t="s">
        <v>8</v>
      </c>
      <c r="G57" s="43">
        <v>9.5</v>
      </c>
      <c r="H57" s="43">
        <v>10.5</v>
      </c>
      <c r="I57" s="43">
        <v>0</v>
      </c>
      <c r="J57" s="43">
        <v>0</v>
      </c>
      <c r="K57" s="1">
        <f t="shared" ref="K57" si="141">(IF(F57="SELL",G57-H57,IF(F57="BUY",H57-G57)))*E57</f>
        <v>1550</v>
      </c>
      <c r="L57" s="43">
        <v>0</v>
      </c>
      <c r="M57" s="43">
        <v>0</v>
      </c>
      <c r="N57" s="1">
        <f t="shared" ref="N57" si="142">(L57+K57+M57)/E57</f>
        <v>1</v>
      </c>
      <c r="O57" s="1">
        <f t="shared" ref="O57" si="143">N57*E57</f>
        <v>1550</v>
      </c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</row>
    <row r="58" spans="1:33" s="32" customFormat="1" ht="15" customHeight="1">
      <c r="A58" s="37">
        <v>44349</v>
      </c>
      <c r="B58" s="57" t="s">
        <v>69</v>
      </c>
      <c r="C58" s="20" t="s">
        <v>47</v>
      </c>
      <c r="D58" s="20">
        <v>250</v>
      </c>
      <c r="E58" s="38">
        <v>3500</v>
      </c>
      <c r="F58" s="20" t="s">
        <v>8</v>
      </c>
      <c r="G58" s="43">
        <v>9</v>
      </c>
      <c r="H58" s="43">
        <v>10</v>
      </c>
      <c r="I58" s="43">
        <v>0</v>
      </c>
      <c r="J58" s="43">
        <v>0</v>
      </c>
      <c r="K58" s="1">
        <f t="shared" ref="K58" si="144">(IF(F58="SELL",G58-H58,IF(F58="BUY",H58-G58)))*E58</f>
        <v>3500</v>
      </c>
      <c r="L58" s="43">
        <v>0</v>
      </c>
      <c r="M58" s="43">
        <v>0</v>
      </c>
      <c r="N58" s="1">
        <f t="shared" ref="N58" si="145">(L58+K58+M58)/E58</f>
        <v>1</v>
      </c>
      <c r="O58" s="1">
        <f t="shared" ref="O58" si="146">N58*E58</f>
        <v>3500</v>
      </c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</row>
    <row r="59" spans="1:33" s="32" customFormat="1" ht="15" customHeight="1">
      <c r="A59" s="37">
        <v>44349</v>
      </c>
      <c r="B59" s="57" t="s">
        <v>58</v>
      </c>
      <c r="C59" s="20" t="s">
        <v>47</v>
      </c>
      <c r="D59" s="20">
        <v>1040</v>
      </c>
      <c r="E59" s="38">
        <v>500</v>
      </c>
      <c r="F59" s="20" t="s">
        <v>8</v>
      </c>
      <c r="G59" s="43">
        <v>32</v>
      </c>
      <c r="H59" s="43">
        <v>34</v>
      </c>
      <c r="I59" s="43">
        <v>0</v>
      </c>
      <c r="J59" s="43">
        <v>0</v>
      </c>
      <c r="K59" s="1">
        <f t="shared" ref="K59" si="147">(IF(F59="SELL",G59-H59,IF(F59="BUY",H59-G59)))*E59</f>
        <v>1000</v>
      </c>
      <c r="L59" s="43">
        <v>0</v>
      </c>
      <c r="M59" s="43">
        <v>0</v>
      </c>
      <c r="N59" s="1">
        <f t="shared" ref="N59" si="148">(L59+K59+M59)/E59</f>
        <v>2</v>
      </c>
      <c r="O59" s="1">
        <f t="shared" ref="O59" si="149">N59*E59</f>
        <v>1000</v>
      </c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</row>
    <row r="60" spans="1:33" s="32" customFormat="1" ht="15" customHeight="1">
      <c r="A60" s="37">
        <v>44349</v>
      </c>
      <c r="B60" s="57" t="s">
        <v>60</v>
      </c>
      <c r="C60" s="20" t="s">
        <v>47</v>
      </c>
      <c r="D60" s="20">
        <v>275</v>
      </c>
      <c r="E60" s="38">
        <v>3100</v>
      </c>
      <c r="F60" s="20" t="s">
        <v>8</v>
      </c>
      <c r="G60" s="43">
        <v>12.5</v>
      </c>
      <c r="H60" s="43">
        <v>12.5</v>
      </c>
      <c r="I60" s="43">
        <v>0</v>
      </c>
      <c r="J60" s="43">
        <v>0</v>
      </c>
      <c r="K60" s="1">
        <f t="shared" ref="K60" si="150">(IF(F60="SELL",G60-H60,IF(F60="BUY",H60-G60)))*E60</f>
        <v>0</v>
      </c>
      <c r="L60" s="43">
        <v>0</v>
      </c>
      <c r="M60" s="43">
        <v>0</v>
      </c>
      <c r="N60" s="1">
        <f t="shared" ref="N60" si="151">(L60+K60+M60)/E60</f>
        <v>0</v>
      </c>
      <c r="O60" s="1">
        <f t="shared" ref="O60" si="152">N60*E60</f>
        <v>0</v>
      </c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</row>
    <row r="61" spans="1:33" s="32" customFormat="1" ht="15" customHeight="1">
      <c r="A61" s="37">
        <v>44349</v>
      </c>
      <c r="B61" s="57" t="s">
        <v>22</v>
      </c>
      <c r="C61" s="20" t="s">
        <v>47</v>
      </c>
      <c r="D61" s="20">
        <v>290</v>
      </c>
      <c r="E61" s="38">
        <v>3300</v>
      </c>
      <c r="F61" s="20" t="s">
        <v>8</v>
      </c>
      <c r="G61" s="43">
        <v>15.5</v>
      </c>
      <c r="H61" s="43">
        <v>14</v>
      </c>
      <c r="I61" s="43">
        <v>0</v>
      </c>
      <c r="J61" s="43">
        <v>0</v>
      </c>
      <c r="K61" s="1">
        <f t="shared" ref="K61" si="153">(IF(F61="SELL",G61-H61,IF(F61="BUY",H61-G61)))*E61</f>
        <v>-4950</v>
      </c>
      <c r="L61" s="43">
        <v>0</v>
      </c>
      <c r="M61" s="43">
        <v>0</v>
      </c>
      <c r="N61" s="1">
        <f t="shared" ref="N61" si="154">(L61+K61+M61)/E61</f>
        <v>-1.5</v>
      </c>
      <c r="O61" s="1">
        <f t="shared" ref="O61" si="155">N61*E61</f>
        <v>-4950</v>
      </c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</row>
    <row r="62" spans="1:33" s="32" customFormat="1" ht="15" customHeight="1">
      <c r="A62" s="37">
        <v>44348</v>
      </c>
      <c r="B62" s="57" t="s">
        <v>67</v>
      </c>
      <c r="C62" s="20" t="s">
        <v>47</v>
      </c>
      <c r="D62" s="20">
        <v>830</v>
      </c>
      <c r="E62" s="38">
        <v>1300</v>
      </c>
      <c r="F62" s="20" t="s">
        <v>8</v>
      </c>
      <c r="G62" s="43">
        <v>31</v>
      </c>
      <c r="H62" s="43">
        <v>34</v>
      </c>
      <c r="I62" s="43">
        <v>0</v>
      </c>
      <c r="J62" s="43">
        <v>0</v>
      </c>
      <c r="K62" s="1">
        <f t="shared" ref="K62" si="156">(IF(F62="SELL",G62-H62,IF(F62="BUY",H62-G62)))*E62</f>
        <v>3900</v>
      </c>
      <c r="L62" s="43">
        <v>0</v>
      </c>
      <c r="M62" s="43">
        <v>0</v>
      </c>
      <c r="N62" s="1">
        <f t="shared" ref="N62" si="157">(L62+K62+M62)/E62</f>
        <v>3</v>
      </c>
      <c r="O62" s="1">
        <f t="shared" ref="O62" si="158">N62*E62</f>
        <v>3900</v>
      </c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</row>
    <row r="63" spans="1:33" s="32" customFormat="1" ht="15" customHeight="1">
      <c r="A63" s="37">
        <v>44348</v>
      </c>
      <c r="B63" s="57" t="s">
        <v>371</v>
      </c>
      <c r="C63" s="20" t="s">
        <v>46</v>
      </c>
      <c r="D63" s="20">
        <v>1440</v>
      </c>
      <c r="E63" s="38">
        <v>475</v>
      </c>
      <c r="F63" s="20" t="s">
        <v>8</v>
      </c>
      <c r="G63" s="43">
        <v>27.5</v>
      </c>
      <c r="H63" s="43">
        <v>25</v>
      </c>
      <c r="I63" s="43">
        <v>0</v>
      </c>
      <c r="J63" s="43">
        <v>0</v>
      </c>
      <c r="K63" s="1">
        <f t="shared" ref="K63" si="159">(IF(F63="SELL",G63-H63,IF(F63="BUY",H63-G63)))*E63</f>
        <v>-1187.5</v>
      </c>
      <c r="L63" s="43">
        <v>0</v>
      </c>
      <c r="M63" s="43">
        <v>0</v>
      </c>
      <c r="N63" s="1">
        <f t="shared" ref="N63" si="160">(L63+K63+M63)/E63</f>
        <v>-2.5</v>
      </c>
      <c r="O63" s="1">
        <f t="shared" ref="O63" si="161">N63*E63</f>
        <v>-1187.5</v>
      </c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</row>
    <row r="64" spans="1:33" s="32" customFormat="1" ht="15" customHeight="1">
      <c r="A64" s="37">
        <v>44348</v>
      </c>
      <c r="B64" s="57" t="s">
        <v>328</v>
      </c>
      <c r="C64" s="20" t="s">
        <v>47</v>
      </c>
      <c r="D64" s="20">
        <v>550</v>
      </c>
      <c r="E64" s="38">
        <v>1250</v>
      </c>
      <c r="F64" s="20" t="s">
        <v>8</v>
      </c>
      <c r="G64" s="43">
        <v>27.5</v>
      </c>
      <c r="H64" s="43">
        <v>25</v>
      </c>
      <c r="I64" s="43">
        <v>0</v>
      </c>
      <c r="J64" s="43">
        <v>0</v>
      </c>
      <c r="K64" s="1">
        <f t="shared" ref="K64" si="162">(IF(F64="SELL",G64-H64,IF(F64="BUY",H64-G64)))*E64</f>
        <v>-3125</v>
      </c>
      <c r="L64" s="43">
        <v>0</v>
      </c>
      <c r="M64" s="43">
        <v>0</v>
      </c>
      <c r="N64" s="1">
        <f t="shared" ref="N64" si="163">(L64+K64+M64)/E64</f>
        <v>-2.5</v>
      </c>
      <c r="O64" s="1">
        <f t="shared" ref="O64" si="164">N64*E64</f>
        <v>-3125</v>
      </c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</row>
    <row r="65" spans="1:33" s="32" customFormat="1" ht="15" customHeight="1">
      <c r="A65" s="37">
        <v>44347</v>
      </c>
      <c r="B65" s="57" t="s">
        <v>26</v>
      </c>
      <c r="C65" s="20" t="s">
        <v>47</v>
      </c>
      <c r="D65" s="20">
        <v>1100</v>
      </c>
      <c r="E65" s="38">
        <v>850</v>
      </c>
      <c r="F65" s="20" t="s">
        <v>8</v>
      </c>
      <c r="G65" s="43">
        <v>51</v>
      </c>
      <c r="H65" s="43">
        <v>55</v>
      </c>
      <c r="I65" s="43">
        <v>0</v>
      </c>
      <c r="J65" s="43">
        <v>0</v>
      </c>
      <c r="K65" s="1">
        <f t="shared" ref="K65" si="165">(IF(F65="SELL",G65-H65,IF(F65="BUY",H65-G65)))*E65</f>
        <v>3400</v>
      </c>
      <c r="L65" s="43">
        <v>0</v>
      </c>
      <c r="M65" s="43">
        <v>0</v>
      </c>
      <c r="N65" s="1">
        <f t="shared" ref="N65" si="166">(L65+K65+M65)/E65</f>
        <v>4</v>
      </c>
      <c r="O65" s="1">
        <f t="shared" ref="O65" si="167">N65*E65</f>
        <v>3400</v>
      </c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</row>
    <row r="66" spans="1:33" s="32" customFormat="1" ht="15" customHeight="1">
      <c r="A66" s="37">
        <v>44347</v>
      </c>
      <c r="B66" s="57" t="s">
        <v>22</v>
      </c>
      <c r="C66" s="20" t="s">
        <v>47</v>
      </c>
      <c r="D66" s="20">
        <v>290</v>
      </c>
      <c r="E66" s="38">
        <v>3300</v>
      </c>
      <c r="F66" s="20" t="s">
        <v>8</v>
      </c>
      <c r="G66" s="43">
        <v>14.4</v>
      </c>
      <c r="H66" s="43">
        <v>15.4</v>
      </c>
      <c r="I66" s="43">
        <v>0</v>
      </c>
      <c r="J66" s="43">
        <v>0</v>
      </c>
      <c r="K66" s="1">
        <f t="shared" ref="K66" si="168">(IF(F66="SELL",G66-H66,IF(F66="BUY",H66-G66)))*E66</f>
        <v>3300</v>
      </c>
      <c r="L66" s="43">
        <v>0</v>
      </c>
      <c r="M66" s="43">
        <v>0</v>
      </c>
      <c r="N66" s="1">
        <f t="shared" ref="N66" si="169">(L66+K66+M66)/E66</f>
        <v>1</v>
      </c>
      <c r="O66" s="1">
        <f t="shared" ref="O66" si="170">N66*E66</f>
        <v>3300</v>
      </c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</row>
    <row r="67" spans="1:33" s="32" customFormat="1" ht="15" customHeight="1">
      <c r="A67" s="37">
        <v>44344</v>
      </c>
      <c r="B67" s="57" t="s">
        <v>420</v>
      </c>
      <c r="C67" s="20" t="s">
        <v>47</v>
      </c>
      <c r="D67" s="20">
        <v>3000</v>
      </c>
      <c r="E67" s="38">
        <v>300</v>
      </c>
      <c r="F67" s="20" t="s">
        <v>8</v>
      </c>
      <c r="G67" s="43">
        <v>66</v>
      </c>
      <c r="H67" s="43">
        <v>61</v>
      </c>
      <c r="I67" s="43">
        <v>0</v>
      </c>
      <c r="J67" s="43">
        <v>0</v>
      </c>
      <c r="K67" s="1">
        <f t="shared" ref="K67" si="171">(IF(F67="SELL",G67-H67,IF(F67="BUY",H67-G67)))*E67</f>
        <v>-1500</v>
      </c>
      <c r="L67" s="43">
        <v>0</v>
      </c>
      <c r="M67" s="43">
        <v>0</v>
      </c>
      <c r="N67" s="1">
        <f t="shared" ref="N67" si="172">(L67+K67+M67)/E67</f>
        <v>-5</v>
      </c>
      <c r="O67" s="1">
        <f t="shared" ref="O67" si="173">N67*E67</f>
        <v>-1500</v>
      </c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</row>
    <row r="68" spans="1:33" s="32" customFormat="1" ht="15" customHeight="1">
      <c r="A68" s="37">
        <v>44344</v>
      </c>
      <c r="B68" s="57" t="s">
        <v>72</v>
      </c>
      <c r="C68" s="20" t="s">
        <v>47</v>
      </c>
      <c r="D68" s="20">
        <v>480</v>
      </c>
      <c r="E68" s="38">
        <v>1851</v>
      </c>
      <c r="F68" s="20" t="s">
        <v>8</v>
      </c>
      <c r="G68" s="43">
        <v>22</v>
      </c>
      <c r="H68" s="43">
        <v>24</v>
      </c>
      <c r="I68" s="43">
        <v>0</v>
      </c>
      <c r="J68" s="43">
        <v>0</v>
      </c>
      <c r="K68" s="1">
        <f t="shared" ref="K68" si="174">(IF(F68="SELL",G68-H68,IF(F68="BUY",H68-G68)))*E68</f>
        <v>3702</v>
      </c>
      <c r="L68" s="43">
        <v>0</v>
      </c>
      <c r="M68" s="43">
        <v>0</v>
      </c>
      <c r="N68" s="1">
        <f t="shared" ref="N68" si="175">(L68+K68+M68)/E68</f>
        <v>2</v>
      </c>
      <c r="O68" s="1">
        <f t="shared" ref="O68" si="176">N68*E68</f>
        <v>3702</v>
      </c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</row>
    <row r="69" spans="1:33" s="32" customFormat="1" ht="15" customHeight="1">
      <c r="A69" s="37">
        <v>44343</v>
      </c>
      <c r="B69" s="57" t="s">
        <v>368</v>
      </c>
      <c r="C69" s="20" t="s">
        <v>47</v>
      </c>
      <c r="D69" s="20">
        <v>205</v>
      </c>
      <c r="E69" s="38">
        <v>3000</v>
      </c>
      <c r="F69" s="20" t="s">
        <v>8</v>
      </c>
      <c r="G69" s="43">
        <v>14</v>
      </c>
      <c r="H69" s="43">
        <v>16</v>
      </c>
      <c r="I69" s="43">
        <v>0</v>
      </c>
      <c r="J69" s="43">
        <v>0</v>
      </c>
      <c r="K69" s="1">
        <f t="shared" ref="K69" si="177">(IF(F69="SELL",G69-H69,IF(F69="BUY",H69-G69)))*E69</f>
        <v>6000</v>
      </c>
      <c r="L69" s="43">
        <v>0</v>
      </c>
      <c r="M69" s="43">
        <v>0</v>
      </c>
      <c r="N69" s="1">
        <f t="shared" ref="N69" si="178">(L69+K69+M69)/E69</f>
        <v>2</v>
      </c>
      <c r="O69" s="1">
        <f t="shared" ref="O69" si="179">N69*E69</f>
        <v>6000</v>
      </c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</row>
    <row r="70" spans="1:33" s="32" customFormat="1" ht="15" customHeight="1">
      <c r="A70" s="37">
        <v>44343</v>
      </c>
      <c r="B70" s="57" t="s">
        <v>67</v>
      </c>
      <c r="C70" s="20" t="s">
        <v>47</v>
      </c>
      <c r="D70" s="20">
        <v>820</v>
      </c>
      <c r="E70" s="38">
        <v>1300</v>
      </c>
      <c r="F70" s="20" t="s">
        <v>8</v>
      </c>
      <c r="G70" s="43">
        <v>5</v>
      </c>
      <c r="H70" s="43">
        <v>2</v>
      </c>
      <c r="I70" s="43">
        <v>0</v>
      </c>
      <c r="J70" s="43">
        <v>0</v>
      </c>
      <c r="K70" s="1">
        <f t="shared" ref="K70" si="180">(IF(F70="SELL",G70-H70,IF(F70="BUY",H70-G70)))*E70</f>
        <v>-3900</v>
      </c>
      <c r="L70" s="43">
        <v>0</v>
      </c>
      <c r="M70" s="43">
        <v>0</v>
      </c>
      <c r="N70" s="1">
        <f t="shared" ref="N70" si="181">(L70+K70+M70)/E70</f>
        <v>-3</v>
      </c>
      <c r="O70" s="1">
        <f t="shared" ref="O70" si="182">N70*E70</f>
        <v>-3900</v>
      </c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</row>
    <row r="71" spans="1:33" s="32" customFormat="1" ht="15" customHeight="1">
      <c r="A71" s="37">
        <v>44342</v>
      </c>
      <c r="B71" s="57" t="s">
        <v>21</v>
      </c>
      <c r="C71" s="20" t="s">
        <v>47</v>
      </c>
      <c r="D71" s="20">
        <v>420</v>
      </c>
      <c r="E71" s="38">
        <v>1500</v>
      </c>
      <c r="F71" s="20" t="s">
        <v>8</v>
      </c>
      <c r="G71" s="43">
        <v>3</v>
      </c>
      <c r="H71" s="43">
        <v>2.25</v>
      </c>
      <c r="I71" s="43">
        <v>0</v>
      </c>
      <c r="J71" s="43">
        <v>0</v>
      </c>
      <c r="K71" s="1">
        <f t="shared" ref="K71" si="183">(IF(F71="SELL",G71-H71,IF(F71="BUY",H71-G71)))*E71</f>
        <v>-1125</v>
      </c>
      <c r="L71" s="43">
        <v>0</v>
      </c>
      <c r="M71" s="43">
        <v>0</v>
      </c>
      <c r="N71" s="1">
        <f t="shared" ref="N71" si="184">(L71+K71+M71)/E71</f>
        <v>-0.75</v>
      </c>
      <c r="O71" s="1">
        <f t="shared" ref="O71" si="185">N71*E71</f>
        <v>-1125</v>
      </c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</row>
    <row r="72" spans="1:33" s="32" customFormat="1" ht="15" customHeight="1">
      <c r="A72" s="37">
        <v>44342</v>
      </c>
      <c r="B72" s="57" t="s">
        <v>109</v>
      </c>
      <c r="C72" s="20" t="s">
        <v>47</v>
      </c>
      <c r="D72" s="20">
        <v>520</v>
      </c>
      <c r="E72" s="38">
        <v>1600</v>
      </c>
      <c r="F72" s="20" t="s">
        <v>8</v>
      </c>
      <c r="G72" s="43">
        <v>3.5</v>
      </c>
      <c r="H72" s="43">
        <v>5</v>
      </c>
      <c r="I72" s="43">
        <v>0</v>
      </c>
      <c r="J72" s="43">
        <v>0</v>
      </c>
      <c r="K72" s="1">
        <f t="shared" ref="K72" si="186">(IF(F72="SELL",G72-H72,IF(F72="BUY",H72-G72)))*E72</f>
        <v>2400</v>
      </c>
      <c r="L72" s="43">
        <v>0</v>
      </c>
      <c r="M72" s="43">
        <v>0</v>
      </c>
      <c r="N72" s="1">
        <f t="shared" ref="N72" si="187">(L72+K72+M72)/E72</f>
        <v>1.5</v>
      </c>
      <c r="O72" s="1">
        <f t="shared" ref="O72" si="188">N72*E72</f>
        <v>2400</v>
      </c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</row>
    <row r="73" spans="1:33" s="32" customFormat="1" ht="15" customHeight="1">
      <c r="A73" s="37">
        <v>44342</v>
      </c>
      <c r="B73" s="57" t="s">
        <v>485</v>
      </c>
      <c r="C73" s="20" t="s">
        <v>47</v>
      </c>
      <c r="D73" s="20">
        <v>2080</v>
      </c>
      <c r="E73" s="38">
        <v>500</v>
      </c>
      <c r="F73" s="20" t="s">
        <v>8</v>
      </c>
      <c r="G73" s="43">
        <v>9.3000000000000007</v>
      </c>
      <c r="H73" s="43">
        <v>15</v>
      </c>
      <c r="I73" s="43">
        <v>0</v>
      </c>
      <c r="J73" s="43">
        <v>0</v>
      </c>
      <c r="K73" s="1">
        <f t="shared" ref="K73" si="189">(IF(F73="SELL",G73-H73,IF(F73="BUY",H73-G73)))*E73</f>
        <v>2849.9999999999995</v>
      </c>
      <c r="L73" s="43">
        <v>0</v>
      </c>
      <c r="M73" s="43">
        <v>0</v>
      </c>
      <c r="N73" s="1">
        <f t="shared" ref="N73" si="190">(L73+K73+M73)/E73</f>
        <v>5.6999999999999993</v>
      </c>
      <c r="O73" s="1">
        <f t="shared" ref="O73" si="191">N73*E73</f>
        <v>2849.9999999999995</v>
      </c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</row>
    <row r="74" spans="1:33" s="32" customFormat="1" ht="15" customHeight="1">
      <c r="A74" s="37">
        <v>44341</v>
      </c>
      <c r="B74" s="57" t="s">
        <v>511</v>
      </c>
      <c r="C74" s="20" t="s">
        <v>47</v>
      </c>
      <c r="D74" s="20">
        <v>3700</v>
      </c>
      <c r="E74" s="38">
        <v>150</v>
      </c>
      <c r="F74" s="20" t="s">
        <v>8</v>
      </c>
      <c r="G74" s="43">
        <v>50</v>
      </c>
      <c r="H74" s="43">
        <v>70</v>
      </c>
      <c r="I74" s="43">
        <v>0</v>
      </c>
      <c r="J74" s="43">
        <v>0</v>
      </c>
      <c r="K74" s="1">
        <f t="shared" ref="K74" si="192">(IF(F74="SELL",G74-H74,IF(F74="BUY",H74-G74)))*E74</f>
        <v>3000</v>
      </c>
      <c r="L74" s="43">
        <v>0</v>
      </c>
      <c r="M74" s="43">
        <v>0</v>
      </c>
      <c r="N74" s="1">
        <f t="shared" ref="N74" si="193">(L74+K74+M74)/E74</f>
        <v>20</v>
      </c>
      <c r="O74" s="1">
        <f t="shared" ref="O74" si="194">N74*E74</f>
        <v>3000</v>
      </c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</row>
    <row r="75" spans="1:33" s="32" customFormat="1" ht="15" customHeight="1">
      <c r="A75" s="37">
        <v>44341</v>
      </c>
      <c r="B75" s="57" t="s">
        <v>109</v>
      </c>
      <c r="C75" s="20" t="s">
        <v>47</v>
      </c>
      <c r="D75" s="20">
        <v>525</v>
      </c>
      <c r="E75" s="38">
        <v>1600</v>
      </c>
      <c r="F75" s="20" t="s">
        <v>8</v>
      </c>
      <c r="G75" s="43">
        <v>4</v>
      </c>
      <c r="H75" s="43">
        <v>5</v>
      </c>
      <c r="I75" s="43">
        <v>0</v>
      </c>
      <c r="J75" s="43">
        <v>0</v>
      </c>
      <c r="K75" s="1">
        <f t="shared" ref="K75" si="195">(IF(F75="SELL",G75-H75,IF(F75="BUY",H75-G75)))*E75</f>
        <v>1600</v>
      </c>
      <c r="L75" s="43">
        <v>0</v>
      </c>
      <c r="M75" s="43">
        <v>0</v>
      </c>
      <c r="N75" s="1">
        <f t="shared" ref="N75" si="196">(L75+K75+M75)/E75</f>
        <v>1</v>
      </c>
      <c r="O75" s="1">
        <f t="shared" ref="O75" si="197">N75*E75</f>
        <v>1600</v>
      </c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</row>
    <row r="76" spans="1:33" s="32" customFormat="1" ht="15" customHeight="1">
      <c r="A76" s="37">
        <v>44340</v>
      </c>
      <c r="B76" s="57" t="s">
        <v>103</v>
      </c>
      <c r="C76" s="20" t="s">
        <v>47</v>
      </c>
      <c r="D76" s="20">
        <v>127.5</v>
      </c>
      <c r="E76" s="38">
        <v>4500</v>
      </c>
      <c r="F76" s="20" t="s">
        <v>8</v>
      </c>
      <c r="G76" s="43">
        <v>1.55</v>
      </c>
      <c r="H76" s="43">
        <v>1.75</v>
      </c>
      <c r="I76" s="43">
        <v>0</v>
      </c>
      <c r="J76" s="43">
        <v>0</v>
      </c>
      <c r="K76" s="1">
        <f t="shared" ref="K76" si="198">(IF(F76="SELL",G76-H76,IF(F76="BUY",H76-G76)))*E76</f>
        <v>899.99999999999977</v>
      </c>
      <c r="L76" s="43">
        <v>0</v>
      </c>
      <c r="M76" s="43">
        <v>0</v>
      </c>
      <c r="N76" s="1">
        <f t="shared" ref="N76" si="199">(L76+K76+M76)/E76</f>
        <v>0.19999999999999996</v>
      </c>
      <c r="O76" s="1">
        <f t="shared" ref="O76" si="200">N76*E76</f>
        <v>899.99999999999977</v>
      </c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</row>
    <row r="77" spans="1:33" s="32" customFormat="1" ht="15" customHeight="1">
      <c r="A77" s="37">
        <v>44340</v>
      </c>
      <c r="B77" s="57" t="s">
        <v>26</v>
      </c>
      <c r="C77" s="20" t="s">
        <v>46</v>
      </c>
      <c r="D77" s="20">
        <v>1050</v>
      </c>
      <c r="E77" s="38">
        <v>850</v>
      </c>
      <c r="F77" s="20" t="s">
        <v>8</v>
      </c>
      <c r="G77" s="43">
        <v>6</v>
      </c>
      <c r="H77" s="43">
        <v>3.8</v>
      </c>
      <c r="I77" s="43">
        <v>0</v>
      </c>
      <c r="J77" s="43">
        <v>0</v>
      </c>
      <c r="K77" s="1">
        <f t="shared" ref="K77" si="201">(IF(F77="SELL",G77-H77,IF(F77="BUY",H77-G77)))*E77</f>
        <v>-1870.0000000000002</v>
      </c>
      <c r="L77" s="43">
        <v>0</v>
      </c>
      <c r="M77" s="43">
        <v>0</v>
      </c>
      <c r="N77" s="1">
        <f t="shared" ref="N77" si="202">(L77+K77+M77)/E77</f>
        <v>-2.2000000000000002</v>
      </c>
      <c r="O77" s="1">
        <f t="shared" ref="O77" si="203">N77*E77</f>
        <v>-1870.0000000000002</v>
      </c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</row>
    <row r="78" spans="1:33" s="32" customFormat="1" ht="15" customHeight="1">
      <c r="A78" s="37">
        <v>44340</v>
      </c>
      <c r="B78" s="57" t="s">
        <v>510</v>
      </c>
      <c r="C78" s="20" t="s">
        <v>46</v>
      </c>
      <c r="D78" s="20">
        <v>600</v>
      </c>
      <c r="E78" s="38">
        <v>1563</v>
      </c>
      <c r="F78" s="20" t="s">
        <v>8</v>
      </c>
      <c r="G78" s="43">
        <v>5.5</v>
      </c>
      <c r="H78" s="43">
        <v>5.5</v>
      </c>
      <c r="I78" s="43">
        <v>0</v>
      </c>
      <c r="J78" s="43">
        <v>0</v>
      </c>
      <c r="K78" s="1">
        <f t="shared" ref="K78" si="204">(IF(F78="SELL",G78-H78,IF(F78="BUY",H78-G78)))*E78</f>
        <v>0</v>
      </c>
      <c r="L78" s="43">
        <v>0</v>
      </c>
      <c r="M78" s="43">
        <v>0</v>
      </c>
      <c r="N78" s="1">
        <f t="shared" ref="N78" si="205">(L78+K78+M78)/E78</f>
        <v>0</v>
      </c>
      <c r="O78" s="1">
        <f t="shared" ref="O78" si="206">N78*E78</f>
        <v>0</v>
      </c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</row>
    <row r="79" spans="1:33" s="32" customFormat="1" ht="15" customHeight="1">
      <c r="A79" s="37">
        <v>44340</v>
      </c>
      <c r="B79" s="57" t="s">
        <v>489</v>
      </c>
      <c r="C79" s="20" t="s">
        <v>47</v>
      </c>
      <c r="D79" s="20">
        <v>640</v>
      </c>
      <c r="E79" s="38">
        <v>2200</v>
      </c>
      <c r="F79" s="20" t="s">
        <v>8</v>
      </c>
      <c r="G79" s="43">
        <v>15</v>
      </c>
      <c r="H79" s="43">
        <v>17</v>
      </c>
      <c r="I79" s="43">
        <v>0</v>
      </c>
      <c r="J79" s="43">
        <v>0</v>
      </c>
      <c r="K79" s="1">
        <f t="shared" ref="K79" si="207">(IF(F79="SELL",G79-H79,IF(F79="BUY",H79-G79)))*E79</f>
        <v>4400</v>
      </c>
      <c r="L79" s="43">
        <v>0</v>
      </c>
      <c r="M79" s="43">
        <v>0</v>
      </c>
      <c r="N79" s="1">
        <f t="shared" ref="N79" si="208">(L79+K79+M79)/E79</f>
        <v>2</v>
      </c>
      <c r="O79" s="1">
        <f t="shared" ref="O79" si="209">N79*E79</f>
        <v>4400</v>
      </c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</row>
    <row r="80" spans="1:33" s="32" customFormat="1" ht="15" customHeight="1">
      <c r="A80" s="37">
        <v>44337</v>
      </c>
      <c r="B80" s="57" t="s">
        <v>26</v>
      </c>
      <c r="C80" s="20" t="s">
        <v>47</v>
      </c>
      <c r="D80" s="20">
        <v>1120</v>
      </c>
      <c r="E80" s="38">
        <v>850</v>
      </c>
      <c r="F80" s="20" t="s">
        <v>8</v>
      </c>
      <c r="G80" s="43">
        <v>26</v>
      </c>
      <c r="H80" s="43">
        <v>20</v>
      </c>
      <c r="I80" s="43">
        <v>0</v>
      </c>
      <c r="J80" s="43">
        <v>0</v>
      </c>
      <c r="K80" s="1">
        <f t="shared" ref="K80" si="210">(IF(F80="SELL",G80-H80,IF(F80="BUY",H80-G80)))*E80</f>
        <v>-5100</v>
      </c>
      <c r="L80" s="43">
        <v>0</v>
      </c>
      <c r="M80" s="43">
        <v>0</v>
      </c>
      <c r="N80" s="1">
        <f t="shared" ref="N80" si="211">(L80+K80+M80)/E80</f>
        <v>-6</v>
      </c>
      <c r="O80" s="1">
        <f t="shared" ref="O80" si="212">N80*E80</f>
        <v>-5100</v>
      </c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</row>
    <row r="81" spans="1:33" s="32" customFormat="1" ht="15" customHeight="1">
      <c r="A81" s="37">
        <v>44337</v>
      </c>
      <c r="B81" s="57" t="s">
        <v>69</v>
      </c>
      <c r="C81" s="20" t="s">
        <v>47</v>
      </c>
      <c r="D81" s="20">
        <v>247.5</v>
      </c>
      <c r="E81" s="38">
        <v>3500</v>
      </c>
      <c r="F81" s="20" t="s">
        <v>8</v>
      </c>
      <c r="G81" s="43">
        <v>6</v>
      </c>
      <c r="H81" s="43">
        <v>6.8</v>
      </c>
      <c r="I81" s="43">
        <v>0</v>
      </c>
      <c r="J81" s="43">
        <v>0</v>
      </c>
      <c r="K81" s="1">
        <f t="shared" ref="K81" si="213">(IF(F81="SELL",G81-H81,IF(F81="BUY",H81-G81)))*E81</f>
        <v>2799.9999999999995</v>
      </c>
      <c r="L81" s="43">
        <v>0</v>
      </c>
      <c r="M81" s="43">
        <v>0</v>
      </c>
      <c r="N81" s="1">
        <f t="shared" ref="N81" si="214">(L81+K81+M81)/E81</f>
        <v>0.79999999999999982</v>
      </c>
      <c r="O81" s="1">
        <f t="shared" ref="O81" si="215">N81*E81</f>
        <v>2799.9999999999995</v>
      </c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</row>
    <row r="82" spans="1:33" s="32" customFormat="1" ht="15" customHeight="1">
      <c r="A82" s="37">
        <v>44336</v>
      </c>
      <c r="B82" s="57" t="s">
        <v>96</v>
      </c>
      <c r="C82" s="20" t="s">
        <v>47</v>
      </c>
      <c r="D82" s="20">
        <v>810</v>
      </c>
      <c r="E82" s="38">
        <v>700</v>
      </c>
      <c r="F82" s="20" t="s">
        <v>8</v>
      </c>
      <c r="G82" s="43">
        <v>15</v>
      </c>
      <c r="H82" s="43">
        <v>19</v>
      </c>
      <c r="I82" s="43">
        <v>0</v>
      </c>
      <c r="J82" s="43">
        <v>0</v>
      </c>
      <c r="K82" s="1">
        <f t="shared" ref="K82" si="216">(IF(F82="SELL",G82-H82,IF(F82="BUY",H82-G82)))*E82</f>
        <v>2800</v>
      </c>
      <c r="L82" s="43">
        <v>0</v>
      </c>
      <c r="M82" s="43">
        <v>0</v>
      </c>
      <c r="N82" s="1">
        <f t="shared" ref="N82" si="217">(L82+K82+M82)/E82</f>
        <v>4</v>
      </c>
      <c r="O82" s="1">
        <f t="shared" ref="O82" si="218">N82*E82</f>
        <v>2800</v>
      </c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</row>
    <row r="83" spans="1:33" s="32" customFormat="1" ht="15" customHeight="1">
      <c r="A83" s="37">
        <v>44336</v>
      </c>
      <c r="B83" s="57" t="s">
        <v>270</v>
      </c>
      <c r="C83" s="20" t="s">
        <v>46</v>
      </c>
      <c r="D83" s="20">
        <v>405</v>
      </c>
      <c r="E83" s="38">
        <v>2500</v>
      </c>
      <c r="F83" s="20" t="s">
        <v>8</v>
      </c>
      <c r="G83" s="43">
        <v>16.399999999999999</v>
      </c>
      <c r="H83" s="43">
        <v>18</v>
      </c>
      <c r="I83" s="43">
        <v>0</v>
      </c>
      <c r="J83" s="43">
        <v>0</v>
      </c>
      <c r="K83" s="1">
        <f t="shared" ref="K83" si="219">(IF(F83="SELL",G83-H83,IF(F83="BUY",H83-G83)))*E83</f>
        <v>4000.0000000000036</v>
      </c>
      <c r="L83" s="43">
        <v>0</v>
      </c>
      <c r="M83" s="43">
        <v>0</v>
      </c>
      <c r="N83" s="1">
        <f t="shared" ref="N83" si="220">(L83+K83+M83)/E83</f>
        <v>1.6000000000000014</v>
      </c>
      <c r="O83" s="1">
        <f t="shared" ref="O83" si="221">N83*E83</f>
        <v>4000.0000000000036</v>
      </c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</row>
    <row r="84" spans="1:33" s="32" customFormat="1" ht="15" customHeight="1">
      <c r="A84" s="37">
        <v>44335</v>
      </c>
      <c r="B84" s="57" t="s">
        <v>270</v>
      </c>
      <c r="C84" s="20" t="s">
        <v>46</v>
      </c>
      <c r="D84" s="20">
        <v>420</v>
      </c>
      <c r="E84" s="38">
        <v>2500</v>
      </c>
      <c r="F84" s="20" t="s">
        <v>8</v>
      </c>
      <c r="G84" s="43">
        <v>11.5</v>
      </c>
      <c r="H84" s="43">
        <v>11.7</v>
      </c>
      <c r="I84" s="43">
        <v>0</v>
      </c>
      <c r="J84" s="43">
        <v>0</v>
      </c>
      <c r="K84" s="1">
        <f t="shared" ref="K84" si="222">(IF(F84="SELL",G84-H84,IF(F84="BUY",H84-G84)))*E84</f>
        <v>499.99999999999824</v>
      </c>
      <c r="L84" s="43">
        <v>0</v>
      </c>
      <c r="M84" s="43">
        <v>0</v>
      </c>
      <c r="N84" s="1">
        <f t="shared" ref="N84" si="223">(L84+K84+M84)/E84</f>
        <v>0.19999999999999929</v>
      </c>
      <c r="O84" s="1">
        <f t="shared" ref="O84" si="224">N84*E84</f>
        <v>499.99999999999824</v>
      </c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</row>
    <row r="85" spans="1:33" s="32" customFormat="1" ht="15" customHeight="1">
      <c r="A85" s="37">
        <v>44335</v>
      </c>
      <c r="B85" s="57" t="s">
        <v>109</v>
      </c>
      <c r="C85" s="20" t="s">
        <v>47</v>
      </c>
      <c r="D85" s="20">
        <v>510</v>
      </c>
      <c r="E85" s="38">
        <v>1600</v>
      </c>
      <c r="F85" s="20" t="s">
        <v>8</v>
      </c>
      <c r="G85" s="43">
        <v>11</v>
      </c>
      <c r="H85" s="43">
        <v>12.4</v>
      </c>
      <c r="I85" s="43">
        <v>0</v>
      </c>
      <c r="J85" s="43">
        <v>0</v>
      </c>
      <c r="K85" s="1">
        <f t="shared" ref="K85" si="225">(IF(F85="SELL",G85-H85,IF(F85="BUY",H85-G85)))*E85</f>
        <v>2240.0000000000005</v>
      </c>
      <c r="L85" s="43">
        <v>0</v>
      </c>
      <c r="M85" s="43">
        <v>0</v>
      </c>
      <c r="N85" s="1">
        <f t="shared" ref="N85" si="226">(L85+K85+M85)/E85</f>
        <v>1.4000000000000004</v>
      </c>
      <c r="O85" s="1">
        <f t="shared" ref="O85" si="227">N85*E85</f>
        <v>2240.0000000000005</v>
      </c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</row>
    <row r="86" spans="1:33" s="32" customFormat="1" ht="15" customHeight="1">
      <c r="A86" s="37">
        <v>44335</v>
      </c>
      <c r="B86" s="57" t="s">
        <v>503</v>
      </c>
      <c r="C86" s="20" t="s">
        <v>47</v>
      </c>
      <c r="D86" s="20">
        <v>160</v>
      </c>
      <c r="E86" s="38">
        <v>3800</v>
      </c>
      <c r="F86" s="20" t="s">
        <v>8</v>
      </c>
      <c r="G86" s="43">
        <v>5</v>
      </c>
      <c r="H86" s="43">
        <v>4</v>
      </c>
      <c r="I86" s="43">
        <v>0</v>
      </c>
      <c r="J86" s="43">
        <v>0</v>
      </c>
      <c r="K86" s="1">
        <f t="shared" ref="K86" si="228">(IF(F86="SELL",G86-H86,IF(F86="BUY",H86-G86)))*E86</f>
        <v>-3800</v>
      </c>
      <c r="L86" s="43">
        <v>0</v>
      </c>
      <c r="M86" s="43">
        <v>0</v>
      </c>
      <c r="N86" s="1">
        <f t="shared" ref="N86" si="229">(L86+K86+M86)/E86</f>
        <v>-1</v>
      </c>
      <c r="O86" s="1">
        <f t="shared" ref="O86" si="230">N86*E86</f>
        <v>-3800</v>
      </c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</row>
    <row r="87" spans="1:33" s="32" customFormat="1" ht="15" customHeight="1">
      <c r="A87" s="37">
        <v>44334</v>
      </c>
      <c r="B87" s="57" t="s">
        <v>69</v>
      </c>
      <c r="C87" s="20" t="s">
        <v>47</v>
      </c>
      <c r="D87" s="20">
        <v>240</v>
      </c>
      <c r="E87" s="38">
        <v>3500</v>
      </c>
      <c r="F87" s="20" t="s">
        <v>8</v>
      </c>
      <c r="G87" s="43">
        <v>12</v>
      </c>
      <c r="H87" s="43">
        <v>13</v>
      </c>
      <c r="I87" s="43">
        <v>0</v>
      </c>
      <c r="J87" s="43">
        <v>0</v>
      </c>
      <c r="K87" s="1">
        <f t="shared" ref="K87" si="231">(IF(F87="SELL",G87-H87,IF(F87="BUY",H87-G87)))*E87</f>
        <v>3500</v>
      </c>
      <c r="L87" s="43">
        <v>0</v>
      </c>
      <c r="M87" s="43">
        <v>0</v>
      </c>
      <c r="N87" s="1">
        <f t="shared" ref="N87" si="232">(L87+K87+M87)/E87</f>
        <v>1</v>
      </c>
      <c r="O87" s="1">
        <f t="shared" ref="O87" si="233">N87*E87</f>
        <v>3500</v>
      </c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</row>
    <row r="88" spans="1:33" s="32" customFormat="1" ht="15" customHeight="1">
      <c r="A88" s="37">
        <v>44334</v>
      </c>
      <c r="B88" s="57" t="s">
        <v>109</v>
      </c>
      <c r="C88" s="20" t="s">
        <v>47</v>
      </c>
      <c r="D88" s="20">
        <v>510</v>
      </c>
      <c r="E88" s="38">
        <v>1600</v>
      </c>
      <c r="F88" s="20" t="s">
        <v>8</v>
      </c>
      <c r="G88" s="43">
        <v>10</v>
      </c>
      <c r="H88" s="43">
        <v>11.5</v>
      </c>
      <c r="I88" s="43">
        <v>0</v>
      </c>
      <c r="J88" s="43">
        <v>0</v>
      </c>
      <c r="K88" s="1">
        <f t="shared" ref="K88" si="234">(IF(F88="SELL",G88-H88,IF(F88="BUY",H88-G88)))*E88</f>
        <v>2400</v>
      </c>
      <c r="L88" s="43">
        <v>0</v>
      </c>
      <c r="M88" s="43">
        <v>0</v>
      </c>
      <c r="N88" s="1">
        <f t="shared" ref="N88" si="235">(L88+K88+M88)/E88</f>
        <v>1.5</v>
      </c>
      <c r="O88" s="1">
        <f t="shared" ref="O88" si="236">N88*E88</f>
        <v>2400</v>
      </c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</row>
    <row r="89" spans="1:33" s="32" customFormat="1" ht="15" customHeight="1">
      <c r="A89" s="37">
        <v>44333</v>
      </c>
      <c r="B89" s="57" t="s">
        <v>71</v>
      </c>
      <c r="C89" s="20" t="s">
        <v>47</v>
      </c>
      <c r="D89" s="20">
        <v>725</v>
      </c>
      <c r="E89" s="38">
        <v>1350</v>
      </c>
      <c r="F89" s="20" t="s">
        <v>8</v>
      </c>
      <c r="G89" s="43">
        <v>26</v>
      </c>
      <c r="H89" s="43">
        <v>25</v>
      </c>
      <c r="I89" s="43">
        <v>0</v>
      </c>
      <c r="J89" s="43">
        <v>0</v>
      </c>
      <c r="K89" s="1">
        <f t="shared" ref="K89" si="237">(IF(F89="SELL",G89-H89,IF(F89="BUY",H89-G89)))*E89</f>
        <v>-1350</v>
      </c>
      <c r="L89" s="43">
        <v>0</v>
      </c>
      <c r="M89" s="43">
        <v>0</v>
      </c>
      <c r="N89" s="1">
        <f t="shared" ref="N89" si="238">(L89+K89+M89)/E89</f>
        <v>-1</v>
      </c>
      <c r="O89" s="1">
        <f t="shared" ref="O89" si="239">N89*E89</f>
        <v>-1350</v>
      </c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</row>
    <row r="90" spans="1:33" s="32" customFormat="1" ht="15" customHeight="1">
      <c r="A90" s="37">
        <v>44333</v>
      </c>
      <c r="B90" s="57" t="s">
        <v>270</v>
      </c>
      <c r="C90" s="20" t="s">
        <v>47</v>
      </c>
      <c r="D90" s="20">
        <v>430</v>
      </c>
      <c r="E90" s="38">
        <v>2500</v>
      </c>
      <c r="F90" s="20" t="s">
        <v>8</v>
      </c>
      <c r="G90" s="43">
        <v>19.5</v>
      </c>
      <c r="H90" s="43">
        <v>20.5</v>
      </c>
      <c r="I90" s="43">
        <v>0</v>
      </c>
      <c r="J90" s="43">
        <v>0</v>
      </c>
      <c r="K90" s="1">
        <f t="shared" ref="K90" si="240">(IF(F90="SELL",G90-H90,IF(F90="BUY",H90-G90)))*E90</f>
        <v>2500</v>
      </c>
      <c r="L90" s="43">
        <v>0</v>
      </c>
      <c r="M90" s="43">
        <v>0</v>
      </c>
      <c r="N90" s="1">
        <f t="shared" ref="N90" si="241">(L90+K90+M90)/E90</f>
        <v>1</v>
      </c>
      <c r="O90" s="1">
        <f t="shared" ref="O90" si="242">N90*E90</f>
        <v>2500</v>
      </c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</row>
    <row r="91" spans="1:33" s="32" customFormat="1" ht="15" customHeight="1">
      <c r="A91" s="37">
        <v>44333</v>
      </c>
      <c r="B91" s="57" t="s">
        <v>367</v>
      </c>
      <c r="C91" s="20" t="s">
        <v>47</v>
      </c>
      <c r="D91" s="20">
        <v>210</v>
      </c>
      <c r="E91" s="38">
        <v>2500</v>
      </c>
      <c r="F91" s="20" t="s">
        <v>8</v>
      </c>
      <c r="G91" s="43">
        <v>8.4</v>
      </c>
      <c r="H91" s="43">
        <v>7.4</v>
      </c>
      <c r="I91" s="43">
        <v>0</v>
      </c>
      <c r="J91" s="43">
        <v>0</v>
      </c>
      <c r="K91" s="1">
        <f t="shared" ref="K91" si="243">(IF(F91="SELL",G91-H91,IF(F91="BUY",H91-G91)))*E91</f>
        <v>-2500</v>
      </c>
      <c r="L91" s="43">
        <v>0</v>
      </c>
      <c r="M91" s="43">
        <v>0</v>
      </c>
      <c r="N91" s="1">
        <f t="shared" ref="N91" si="244">(L91+K91+M91)/E91</f>
        <v>-1</v>
      </c>
      <c r="O91" s="1">
        <f t="shared" ref="O91" si="245">N91*E91</f>
        <v>-2500</v>
      </c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</row>
    <row r="92" spans="1:33" s="32" customFormat="1" ht="15" customHeight="1">
      <c r="A92" s="37">
        <v>44330</v>
      </c>
      <c r="B92" s="57" t="s">
        <v>34</v>
      </c>
      <c r="C92" s="20" t="s">
        <v>46</v>
      </c>
      <c r="D92" s="20">
        <v>365</v>
      </c>
      <c r="E92" s="38">
        <v>2150</v>
      </c>
      <c r="F92" s="20" t="s">
        <v>8</v>
      </c>
      <c r="G92" s="43">
        <v>12</v>
      </c>
      <c r="H92" s="43">
        <v>10.6</v>
      </c>
      <c r="I92" s="43">
        <v>0</v>
      </c>
      <c r="J92" s="43">
        <v>0</v>
      </c>
      <c r="K92" s="1">
        <f t="shared" ref="K92" si="246">(IF(F92="SELL",G92-H92,IF(F92="BUY",H92-G92)))*E92</f>
        <v>-3010.0000000000009</v>
      </c>
      <c r="L92" s="43">
        <v>0</v>
      </c>
      <c r="M92" s="43">
        <v>0</v>
      </c>
      <c r="N92" s="1">
        <f t="shared" ref="N92" si="247">(L92+K92+M92)/E92</f>
        <v>-1.4000000000000004</v>
      </c>
      <c r="O92" s="1">
        <f t="shared" ref="O92" si="248">N92*E92</f>
        <v>-3010.0000000000009</v>
      </c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</row>
    <row r="93" spans="1:33" s="32" customFormat="1" ht="15" customHeight="1">
      <c r="A93" s="37">
        <v>44330</v>
      </c>
      <c r="B93" s="57" t="s">
        <v>505</v>
      </c>
      <c r="C93" s="20" t="s">
        <v>46</v>
      </c>
      <c r="D93" s="20">
        <v>3300</v>
      </c>
      <c r="E93" s="38">
        <v>200</v>
      </c>
      <c r="F93" s="20" t="s">
        <v>8</v>
      </c>
      <c r="G93" s="43">
        <v>110</v>
      </c>
      <c r="H93" s="43">
        <v>125</v>
      </c>
      <c r="I93" s="43">
        <v>0</v>
      </c>
      <c r="J93" s="43">
        <v>0</v>
      </c>
      <c r="K93" s="1">
        <f t="shared" ref="K93" si="249">(IF(F93="SELL",G93-H93,IF(F93="BUY",H93-G93)))*E93</f>
        <v>3000</v>
      </c>
      <c r="L93" s="43">
        <v>0</v>
      </c>
      <c r="M93" s="43">
        <v>0</v>
      </c>
      <c r="N93" s="1">
        <f t="shared" ref="N93" si="250">(L93+K93+M93)/E93</f>
        <v>15</v>
      </c>
      <c r="O93" s="1">
        <f t="shared" ref="O93" si="251">N93*E93</f>
        <v>3000</v>
      </c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</row>
    <row r="94" spans="1:33" s="32" customFormat="1" ht="15" customHeight="1">
      <c r="A94" s="37">
        <v>44330</v>
      </c>
      <c r="B94" s="57" t="s">
        <v>22</v>
      </c>
      <c r="C94" s="20" t="s">
        <v>46</v>
      </c>
      <c r="D94" s="20">
        <v>250</v>
      </c>
      <c r="E94" s="38">
        <v>3300</v>
      </c>
      <c r="F94" s="20" t="s">
        <v>8</v>
      </c>
      <c r="G94" s="43">
        <v>9</v>
      </c>
      <c r="H94" s="43">
        <v>10</v>
      </c>
      <c r="I94" s="43">
        <v>0</v>
      </c>
      <c r="J94" s="43">
        <v>0</v>
      </c>
      <c r="K94" s="1">
        <f t="shared" ref="K94" si="252">(IF(F94="SELL",G94-H94,IF(F94="BUY",H94-G94)))*E94</f>
        <v>3300</v>
      </c>
      <c r="L94" s="43">
        <v>0</v>
      </c>
      <c r="M94" s="43">
        <v>0</v>
      </c>
      <c r="N94" s="1">
        <f t="shared" ref="N94" si="253">(L94+K94+M94)/E94</f>
        <v>1</v>
      </c>
      <c r="O94" s="1">
        <f t="shared" ref="O94" si="254">N94*E94</f>
        <v>3300</v>
      </c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</row>
    <row r="95" spans="1:33" s="32" customFormat="1" ht="15" customHeight="1">
      <c r="A95" s="37">
        <v>44330</v>
      </c>
      <c r="B95" s="57" t="s">
        <v>17</v>
      </c>
      <c r="C95" s="20" t="s">
        <v>47</v>
      </c>
      <c r="D95" s="20">
        <v>710</v>
      </c>
      <c r="E95" s="38">
        <v>1200</v>
      </c>
      <c r="F95" s="20" t="s">
        <v>8</v>
      </c>
      <c r="G95" s="43">
        <v>12.5</v>
      </c>
      <c r="H95" s="43">
        <v>10</v>
      </c>
      <c r="I95" s="43">
        <v>0</v>
      </c>
      <c r="J95" s="43">
        <v>0</v>
      </c>
      <c r="K95" s="1">
        <f t="shared" ref="K95" si="255">(IF(F95="SELL",G95-H95,IF(F95="BUY",H95-G95)))*E95</f>
        <v>-3000</v>
      </c>
      <c r="L95" s="43">
        <v>0</v>
      </c>
      <c r="M95" s="43">
        <v>0</v>
      </c>
      <c r="N95" s="1">
        <f t="shared" ref="N95" si="256">(L95+K95+M95)/E95</f>
        <v>-2.5</v>
      </c>
      <c r="O95" s="1">
        <f t="shared" ref="O95" si="257">N95*E95</f>
        <v>-3000</v>
      </c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</row>
    <row r="96" spans="1:33" s="32" customFormat="1" ht="15" customHeight="1">
      <c r="A96" s="37">
        <v>44330</v>
      </c>
      <c r="B96" s="57" t="s">
        <v>17</v>
      </c>
      <c r="C96" s="20" t="s">
        <v>47</v>
      </c>
      <c r="D96" s="20">
        <v>710</v>
      </c>
      <c r="E96" s="38">
        <v>1200</v>
      </c>
      <c r="F96" s="20" t="s">
        <v>8</v>
      </c>
      <c r="G96" s="43">
        <v>12.5</v>
      </c>
      <c r="H96" s="43">
        <v>10</v>
      </c>
      <c r="I96" s="43">
        <v>0</v>
      </c>
      <c r="J96" s="43">
        <v>0</v>
      </c>
      <c r="K96" s="1">
        <f t="shared" ref="K96" si="258">(IF(F96="SELL",G96-H96,IF(F96="BUY",H96-G96)))*E96</f>
        <v>-3000</v>
      </c>
      <c r="L96" s="43">
        <v>0</v>
      </c>
      <c r="M96" s="43">
        <v>0</v>
      </c>
      <c r="N96" s="1">
        <f t="shared" ref="N96" si="259">(L96+K96+M96)/E96</f>
        <v>-2.5</v>
      </c>
      <c r="O96" s="1">
        <f t="shared" ref="O96" si="260">N96*E96</f>
        <v>-3000</v>
      </c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</row>
    <row r="97" spans="1:33" s="32" customFormat="1" ht="15" customHeight="1">
      <c r="A97" s="37">
        <v>44328</v>
      </c>
      <c r="B97" s="57" t="s">
        <v>69</v>
      </c>
      <c r="C97" s="20" t="s">
        <v>47</v>
      </c>
      <c r="D97" s="20">
        <v>242.5</v>
      </c>
      <c r="E97" s="38">
        <v>3500</v>
      </c>
      <c r="F97" s="20" t="s">
        <v>8</v>
      </c>
      <c r="G97" s="43">
        <v>11.3</v>
      </c>
      <c r="H97" s="43">
        <v>11.6</v>
      </c>
      <c r="I97" s="43">
        <v>0</v>
      </c>
      <c r="J97" s="43">
        <v>0</v>
      </c>
      <c r="K97" s="1">
        <f t="shared" ref="K97" si="261">(IF(F97="SELL",G97-H97,IF(F97="BUY",H97-G97)))*E97</f>
        <v>1049.9999999999964</v>
      </c>
      <c r="L97" s="43">
        <v>0</v>
      </c>
      <c r="M97" s="43">
        <v>0</v>
      </c>
      <c r="N97" s="1">
        <f t="shared" ref="N97" si="262">(L97+K97+M97)/E97</f>
        <v>0.29999999999999893</v>
      </c>
      <c r="O97" s="1">
        <f t="shared" ref="O97" si="263">N97*E97</f>
        <v>1049.9999999999964</v>
      </c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</row>
    <row r="98" spans="1:33" s="32" customFormat="1" ht="15" customHeight="1">
      <c r="A98" s="37">
        <v>44328</v>
      </c>
      <c r="B98" s="57" t="s">
        <v>17</v>
      </c>
      <c r="C98" s="20" t="s">
        <v>46</v>
      </c>
      <c r="D98" s="20">
        <v>680</v>
      </c>
      <c r="E98" s="38">
        <v>1200</v>
      </c>
      <c r="F98" s="20" t="s">
        <v>8</v>
      </c>
      <c r="G98" s="43">
        <v>12.5</v>
      </c>
      <c r="H98" s="43">
        <v>12.1</v>
      </c>
      <c r="I98" s="43">
        <v>0</v>
      </c>
      <c r="J98" s="43">
        <v>0</v>
      </c>
      <c r="K98" s="1">
        <f t="shared" ref="K98" si="264">(IF(F98="SELL",G98-H98,IF(F98="BUY",H98-G98)))*E98</f>
        <v>-480.00000000000045</v>
      </c>
      <c r="L98" s="43">
        <v>0</v>
      </c>
      <c r="M98" s="43">
        <v>0</v>
      </c>
      <c r="N98" s="1">
        <f t="shared" ref="N98" si="265">(L98+K98+M98)/E98</f>
        <v>-0.40000000000000036</v>
      </c>
      <c r="O98" s="1">
        <f t="shared" ref="O98" si="266">N98*E98</f>
        <v>-480.00000000000045</v>
      </c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</row>
    <row r="99" spans="1:33" s="32" customFormat="1" ht="15" customHeight="1">
      <c r="A99" s="37">
        <v>44328</v>
      </c>
      <c r="B99" s="57" t="s">
        <v>75</v>
      </c>
      <c r="C99" s="20" t="s">
        <v>46</v>
      </c>
      <c r="D99" s="20">
        <v>3100</v>
      </c>
      <c r="E99" s="38">
        <v>250</v>
      </c>
      <c r="F99" s="20" t="s">
        <v>8</v>
      </c>
      <c r="G99" s="43">
        <v>60</v>
      </c>
      <c r="H99" s="43">
        <v>70</v>
      </c>
      <c r="I99" s="43">
        <v>0</v>
      </c>
      <c r="J99" s="43">
        <v>0</v>
      </c>
      <c r="K99" s="1">
        <f t="shared" ref="K99" si="267">(IF(F99="SELL",G99-H99,IF(F99="BUY",H99-G99)))*E99</f>
        <v>2500</v>
      </c>
      <c r="L99" s="43">
        <v>0</v>
      </c>
      <c r="M99" s="43">
        <v>0</v>
      </c>
      <c r="N99" s="1">
        <f t="shared" ref="N99" si="268">(L99+K99+M99)/E99</f>
        <v>10</v>
      </c>
      <c r="O99" s="1">
        <f t="shared" ref="O99" si="269">N99*E99</f>
        <v>2500</v>
      </c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</row>
    <row r="100" spans="1:33" s="32" customFormat="1" ht="15" customHeight="1">
      <c r="A100" s="37">
        <v>44327</v>
      </c>
      <c r="B100" s="57" t="s">
        <v>367</v>
      </c>
      <c r="C100" s="20" t="s">
        <v>47</v>
      </c>
      <c r="D100" s="20">
        <v>232.5</v>
      </c>
      <c r="E100" s="38">
        <v>2500</v>
      </c>
      <c r="F100" s="20" t="s">
        <v>8</v>
      </c>
      <c r="G100" s="43">
        <v>7.9</v>
      </c>
      <c r="H100" s="43">
        <v>8.5</v>
      </c>
      <c r="I100" s="43">
        <v>0</v>
      </c>
      <c r="J100" s="43">
        <v>0</v>
      </c>
      <c r="K100" s="1">
        <f t="shared" ref="K100" si="270">(IF(F100="SELL",G100-H100,IF(F100="BUY",H100-G100)))*E100</f>
        <v>1499.9999999999991</v>
      </c>
      <c r="L100" s="43">
        <v>0</v>
      </c>
      <c r="M100" s="43">
        <v>0</v>
      </c>
      <c r="N100" s="1">
        <f t="shared" ref="N100" si="271">(L100+K100+M100)/E100</f>
        <v>0.59999999999999964</v>
      </c>
      <c r="O100" s="1">
        <f t="shared" ref="O100" si="272">N100*E100</f>
        <v>1499.9999999999991</v>
      </c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</row>
    <row r="101" spans="1:33" s="32" customFormat="1" ht="15" customHeight="1">
      <c r="A101" s="37">
        <v>44327</v>
      </c>
      <c r="B101" s="57" t="s">
        <v>69</v>
      </c>
      <c r="C101" s="20" t="s">
        <v>47</v>
      </c>
      <c r="D101" s="20">
        <v>240</v>
      </c>
      <c r="E101" s="38">
        <v>3500</v>
      </c>
      <c r="F101" s="20" t="s">
        <v>8</v>
      </c>
      <c r="G101" s="43">
        <v>11</v>
      </c>
      <c r="H101" s="43">
        <v>12</v>
      </c>
      <c r="I101" s="43">
        <v>0</v>
      </c>
      <c r="J101" s="43">
        <v>0</v>
      </c>
      <c r="K101" s="1">
        <f t="shared" ref="K101" si="273">(IF(F101="SELL",G101-H101,IF(F101="BUY",H101-G101)))*E101</f>
        <v>3500</v>
      </c>
      <c r="L101" s="43">
        <v>0</v>
      </c>
      <c r="M101" s="43">
        <v>0</v>
      </c>
      <c r="N101" s="1">
        <f t="shared" ref="N101" si="274">(L101+K101+M101)/E101</f>
        <v>1</v>
      </c>
      <c r="O101" s="1">
        <f t="shared" ref="O101" si="275">N101*E101</f>
        <v>3500</v>
      </c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</row>
    <row r="102" spans="1:33" s="32" customFormat="1" ht="15" customHeight="1">
      <c r="A102" s="37">
        <v>44326</v>
      </c>
      <c r="B102" s="57" t="s">
        <v>270</v>
      </c>
      <c r="C102" s="20" t="s">
        <v>47</v>
      </c>
      <c r="D102" s="20">
        <v>510</v>
      </c>
      <c r="E102" s="38">
        <v>2500</v>
      </c>
      <c r="F102" s="20" t="s">
        <v>8</v>
      </c>
      <c r="G102" s="43">
        <v>20.3</v>
      </c>
      <c r="H102" s="43">
        <v>20.3</v>
      </c>
      <c r="I102" s="43">
        <v>0</v>
      </c>
      <c r="J102" s="43">
        <v>0</v>
      </c>
      <c r="K102" s="1">
        <f t="shared" ref="K102" si="276">(IF(F102="SELL",G102-H102,IF(F102="BUY",H102-G102)))*E102</f>
        <v>0</v>
      </c>
      <c r="L102" s="43">
        <v>0</v>
      </c>
      <c r="M102" s="43">
        <v>0</v>
      </c>
      <c r="N102" s="1">
        <f t="shared" ref="N102" si="277">(L102+K102+M102)/E102</f>
        <v>0</v>
      </c>
      <c r="O102" s="1">
        <f t="shared" ref="O102" si="278">N102*E102</f>
        <v>0</v>
      </c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</row>
    <row r="103" spans="1:33" s="32" customFormat="1" ht="15" customHeight="1">
      <c r="A103" s="37">
        <v>44326</v>
      </c>
      <c r="B103" s="57" t="s">
        <v>509</v>
      </c>
      <c r="C103" s="20" t="s">
        <v>47</v>
      </c>
      <c r="D103" s="20">
        <v>640</v>
      </c>
      <c r="E103" s="38">
        <v>1500</v>
      </c>
      <c r="F103" s="20" t="s">
        <v>8</v>
      </c>
      <c r="G103" s="43">
        <v>33</v>
      </c>
      <c r="H103" s="43">
        <v>35</v>
      </c>
      <c r="I103" s="43">
        <v>0</v>
      </c>
      <c r="J103" s="43">
        <v>0</v>
      </c>
      <c r="K103" s="1">
        <f t="shared" ref="K103" si="279">(IF(F103="SELL",G103-H103,IF(F103="BUY",H103-G103)))*E103</f>
        <v>3000</v>
      </c>
      <c r="L103" s="43">
        <v>0</v>
      </c>
      <c r="M103" s="43">
        <v>0</v>
      </c>
      <c r="N103" s="1">
        <f t="shared" ref="N103" si="280">(L103+K103+M103)/E103</f>
        <v>2</v>
      </c>
      <c r="O103" s="1">
        <f t="shared" ref="O103" si="281">N103*E103</f>
        <v>3000</v>
      </c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</row>
    <row r="104" spans="1:33" s="32" customFormat="1" ht="15" customHeight="1">
      <c r="A104" s="37">
        <v>44326</v>
      </c>
      <c r="B104" s="57" t="s">
        <v>466</v>
      </c>
      <c r="C104" s="20" t="s">
        <v>47</v>
      </c>
      <c r="D104" s="20">
        <v>610</v>
      </c>
      <c r="E104" s="38">
        <v>1375</v>
      </c>
      <c r="F104" s="20" t="s">
        <v>8</v>
      </c>
      <c r="G104" s="43">
        <v>20</v>
      </c>
      <c r="H104" s="43">
        <v>18.5</v>
      </c>
      <c r="I104" s="43">
        <v>0</v>
      </c>
      <c r="J104" s="43">
        <v>0</v>
      </c>
      <c r="K104" s="1">
        <f t="shared" ref="K104" si="282">(IF(F104="SELL",G104-H104,IF(F104="BUY",H104-G104)))*E104</f>
        <v>-2062.5</v>
      </c>
      <c r="L104" s="43">
        <v>0</v>
      </c>
      <c r="M104" s="43">
        <v>0</v>
      </c>
      <c r="N104" s="1">
        <f t="shared" ref="N104" si="283">(L104+K104+M104)/E104</f>
        <v>-1.5</v>
      </c>
      <c r="O104" s="1">
        <f t="shared" ref="O104" si="284">N104*E104</f>
        <v>-2062.5</v>
      </c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</row>
    <row r="105" spans="1:33" s="32" customFormat="1" ht="15" customHeight="1">
      <c r="A105" s="37">
        <v>44326</v>
      </c>
      <c r="B105" s="57" t="s">
        <v>367</v>
      </c>
      <c r="C105" s="20" t="s">
        <v>46</v>
      </c>
      <c r="D105" s="20">
        <v>215</v>
      </c>
      <c r="E105" s="38">
        <v>2500</v>
      </c>
      <c r="F105" s="20" t="s">
        <v>8</v>
      </c>
      <c r="G105" s="43">
        <v>8.25</v>
      </c>
      <c r="H105" s="43">
        <v>7</v>
      </c>
      <c r="I105" s="43">
        <v>0</v>
      </c>
      <c r="J105" s="43">
        <v>0</v>
      </c>
      <c r="K105" s="1">
        <f t="shared" ref="K105" si="285">(IF(F105="SELL",G105-H105,IF(F105="BUY",H105-G105)))*E105</f>
        <v>-3125</v>
      </c>
      <c r="L105" s="43">
        <v>0</v>
      </c>
      <c r="M105" s="43">
        <v>0</v>
      </c>
      <c r="N105" s="1">
        <f t="shared" ref="N105" si="286">(L105+K105+M105)/E105</f>
        <v>-1.25</v>
      </c>
      <c r="O105" s="1">
        <f t="shared" ref="O105" si="287">N105*E105</f>
        <v>-3125</v>
      </c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</row>
    <row r="106" spans="1:33" s="32" customFormat="1" ht="15" customHeight="1">
      <c r="A106" s="37">
        <v>44323</v>
      </c>
      <c r="B106" s="57" t="s">
        <v>16</v>
      </c>
      <c r="C106" s="20" t="s">
        <v>47</v>
      </c>
      <c r="D106" s="20">
        <v>770</v>
      </c>
      <c r="E106" s="38">
        <v>1250</v>
      </c>
      <c r="F106" s="20" t="s">
        <v>8</v>
      </c>
      <c r="G106" s="43">
        <v>32</v>
      </c>
      <c r="H106" s="43">
        <v>34</v>
      </c>
      <c r="I106" s="43">
        <v>0</v>
      </c>
      <c r="J106" s="43">
        <v>0</v>
      </c>
      <c r="K106" s="1">
        <f t="shared" ref="K106" si="288">(IF(F106="SELL",G106-H106,IF(F106="BUY",H106-G106)))*E106</f>
        <v>2500</v>
      </c>
      <c r="L106" s="43">
        <v>0</v>
      </c>
      <c r="M106" s="43">
        <v>0</v>
      </c>
      <c r="N106" s="1">
        <f t="shared" ref="N106" si="289">(L106+K106+M106)/E106</f>
        <v>2</v>
      </c>
      <c r="O106" s="1">
        <f t="shared" ref="O106" si="290">N106*E106</f>
        <v>2500</v>
      </c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</row>
    <row r="107" spans="1:33" s="32" customFormat="1" ht="15" customHeight="1">
      <c r="A107" s="37">
        <v>44323</v>
      </c>
      <c r="B107" s="57" t="s">
        <v>404</v>
      </c>
      <c r="C107" s="20" t="s">
        <v>47</v>
      </c>
      <c r="D107" s="20">
        <v>135</v>
      </c>
      <c r="E107" s="38">
        <v>6000</v>
      </c>
      <c r="F107" s="20" t="s">
        <v>8</v>
      </c>
      <c r="G107" s="43">
        <v>3.65</v>
      </c>
      <c r="H107" s="43">
        <v>3.65</v>
      </c>
      <c r="I107" s="43">
        <v>0</v>
      </c>
      <c r="J107" s="43">
        <v>0</v>
      </c>
      <c r="K107" s="1">
        <f t="shared" ref="K107" si="291">(IF(F107="SELL",G107-H107,IF(F107="BUY",H107-G107)))*E107</f>
        <v>0</v>
      </c>
      <c r="L107" s="43">
        <v>0</v>
      </c>
      <c r="M107" s="43">
        <v>0</v>
      </c>
      <c r="N107" s="1">
        <f t="shared" ref="N107" si="292">(L107+K107+M107)/E107</f>
        <v>0</v>
      </c>
      <c r="O107" s="1">
        <f t="shared" ref="O107" si="293">N107*E107</f>
        <v>0</v>
      </c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</row>
    <row r="108" spans="1:33" s="32" customFormat="1" ht="15" customHeight="1">
      <c r="A108" s="37">
        <v>44323</v>
      </c>
      <c r="B108" s="57" t="s">
        <v>24</v>
      </c>
      <c r="C108" s="20" t="s">
        <v>46</v>
      </c>
      <c r="D108" s="20">
        <v>295</v>
      </c>
      <c r="E108" s="38">
        <v>2850</v>
      </c>
      <c r="F108" s="20" t="s">
        <v>8</v>
      </c>
      <c r="G108" s="43">
        <v>10.8</v>
      </c>
      <c r="H108" s="43">
        <v>9.6</v>
      </c>
      <c r="I108" s="43">
        <v>0</v>
      </c>
      <c r="J108" s="43">
        <v>0</v>
      </c>
      <c r="K108" s="1">
        <f t="shared" ref="K108" si="294">(IF(F108="SELL",G108-H108,IF(F108="BUY",H108-G108)))*E108</f>
        <v>-3420.0000000000032</v>
      </c>
      <c r="L108" s="43">
        <v>0</v>
      </c>
      <c r="M108" s="43">
        <v>0</v>
      </c>
      <c r="N108" s="1">
        <f t="shared" ref="N108" si="295">(L108+K108+M108)/E108</f>
        <v>-1.2000000000000011</v>
      </c>
      <c r="O108" s="1">
        <f t="shared" ref="O108" si="296">N108*E108</f>
        <v>-3420.0000000000032</v>
      </c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</row>
    <row r="109" spans="1:33" s="32" customFormat="1" ht="15" customHeight="1">
      <c r="A109" s="37">
        <v>44322</v>
      </c>
      <c r="B109" s="57" t="s">
        <v>69</v>
      </c>
      <c r="C109" s="20" t="s">
        <v>46</v>
      </c>
      <c r="D109" s="20">
        <v>217.5</v>
      </c>
      <c r="E109" s="38">
        <v>3500</v>
      </c>
      <c r="F109" s="20" t="s">
        <v>8</v>
      </c>
      <c r="G109" s="43">
        <v>11</v>
      </c>
      <c r="H109" s="43">
        <v>11.6</v>
      </c>
      <c r="I109" s="43">
        <v>0</v>
      </c>
      <c r="J109" s="43">
        <v>0</v>
      </c>
      <c r="K109" s="1">
        <f t="shared" ref="K109" si="297">(IF(F109="SELL",G109-H109,IF(F109="BUY",H109-G109)))*E109</f>
        <v>2099.9999999999986</v>
      </c>
      <c r="L109" s="43">
        <v>0</v>
      </c>
      <c r="M109" s="43">
        <v>0</v>
      </c>
      <c r="N109" s="1">
        <f t="shared" ref="N109" si="298">(L109+K109+M109)/E109</f>
        <v>0.59999999999999964</v>
      </c>
      <c r="O109" s="1">
        <f t="shared" ref="O109" si="299">N109*E109</f>
        <v>2099.9999999999986</v>
      </c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</row>
    <row r="110" spans="1:33" s="32" customFormat="1" ht="15" customHeight="1">
      <c r="A110" s="37">
        <v>44322</v>
      </c>
      <c r="B110" s="57" t="s">
        <v>21</v>
      </c>
      <c r="C110" s="20" t="s">
        <v>46</v>
      </c>
      <c r="D110" s="20">
        <v>345</v>
      </c>
      <c r="E110" s="38">
        <v>1500</v>
      </c>
      <c r="F110" s="20" t="s">
        <v>8</v>
      </c>
      <c r="G110" s="43">
        <v>11</v>
      </c>
      <c r="H110" s="43">
        <v>10.1</v>
      </c>
      <c r="I110" s="43">
        <v>0</v>
      </c>
      <c r="J110" s="43">
        <v>0</v>
      </c>
      <c r="K110" s="1">
        <f t="shared" ref="K110" si="300">(IF(F110="SELL",G110-H110,IF(F110="BUY",H110-G110)))*E110</f>
        <v>-1350.0000000000005</v>
      </c>
      <c r="L110" s="43">
        <v>0</v>
      </c>
      <c r="M110" s="43">
        <v>0</v>
      </c>
      <c r="N110" s="1">
        <f t="shared" ref="N110" si="301">(L110+K110+M110)/E110</f>
        <v>-0.90000000000000036</v>
      </c>
      <c r="O110" s="1">
        <f t="shared" ref="O110" si="302">N110*E110</f>
        <v>-1350.0000000000005</v>
      </c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</row>
    <row r="111" spans="1:33" s="32" customFormat="1" ht="15" customHeight="1">
      <c r="A111" s="37">
        <v>44321</v>
      </c>
      <c r="B111" s="57" t="s">
        <v>464</v>
      </c>
      <c r="C111" s="20" t="s">
        <v>46</v>
      </c>
      <c r="D111" s="20">
        <v>5200</v>
      </c>
      <c r="E111" s="38">
        <v>125</v>
      </c>
      <c r="F111" s="20" t="s">
        <v>8</v>
      </c>
      <c r="G111" s="43">
        <v>105</v>
      </c>
      <c r="H111" s="43">
        <v>105</v>
      </c>
      <c r="I111" s="43">
        <v>0</v>
      </c>
      <c r="J111" s="43">
        <v>0</v>
      </c>
      <c r="K111" s="1">
        <f t="shared" ref="K111" si="303">(IF(F111="SELL",G111-H111,IF(F111="BUY",H111-G111)))*E111</f>
        <v>0</v>
      </c>
      <c r="L111" s="43">
        <v>0</v>
      </c>
      <c r="M111" s="43">
        <v>0</v>
      </c>
      <c r="N111" s="1">
        <f t="shared" ref="N111" si="304">(L111+K111+M111)/E111</f>
        <v>0</v>
      </c>
      <c r="O111" s="1">
        <f t="shared" ref="O111" si="305">N111*E111</f>
        <v>0</v>
      </c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</row>
    <row r="112" spans="1:33" s="32" customFormat="1" ht="15" customHeight="1">
      <c r="A112" s="37">
        <v>44321</v>
      </c>
      <c r="B112" s="57" t="s">
        <v>34</v>
      </c>
      <c r="C112" s="20" t="s">
        <v>47</v>
      </c>
      <c r="D112" s="20">
        <v>390</v>
      </c>
      <c r="E112" s="38">
        <v>2150</v>
      </c>
      <c r="F112" s="20" t="s">
        <v>8</v>
      </c>
      <c r="G112" s="43">
        <v>12</v>
      </c>
      <c r="H112" s="43">
        <v>13.2</v>
      </c>
      <c r="I112" s="43">
        <v>0</v>
      </c>
      <c r="J112" s="43">
        <v>0</v>
      </c>
      <c r="K112" s="1">
        <f t="shared" ref="K112" si="306">(IF(F112="SELL",G112-H112,IF(F112="BUY",H112-G112)))*E112</f>
        <v>2579.9999999999986</v>
      </c>
      <c r="L112" s="43">
        <v>0</v>
      </c>
      <c r="M112" s="43">
        <v>0</v>
      </c>
      <c r="N112" s="1">
        <f t="shared" ref="N112" si="307">(L112+K112+M112)/E112</f>
        <v>1.1999999999999993</v>
      </c>
      <c r="O112" s="1">
        <f t="shared" ref="O112" si="308">N112*E112</f>
        <v>2579.9999999999986</v>
      </c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</row>
    <row r="113" spans="1:33" s="32" customFormat="1" ht="15" customHeight="1">
      <c r="A113" s="37">
        <v>44320</v>
      </c>
      <c r="B113" s="57" t="s">
        <v>18</v>
      </c>
      <c r="C113" s="20" t="s">
        <v>46</v>
      </c>
      <c r="D113" s="20">
        <v>890</v>
      </c>
      <c r="E113" s="38">
        <v>650</v>
      </c>
      <c r="F113" s="20" t="s">
        <v>8</v>
      </c>
      <c r="G113" s="43">
        <v>34</v>
      </c>
      <c r="H113" s="43">
        <v>40</v>
      </c>
      <c r="I113" s="43">
        <v>0</v>
      </c>
      <c r="J113" s="43">
        <v>0</v>
      </c>
      <c r="K113" s="1">
        <f t="shared" ref="K113" si="309">(IF(F113="SELL",G113-H113,IF(F113="BUY",H113-G113)))*E113</f>
        <v>3900</v>
      </c>
      <c r="L113" s="43">
        <v>0</v>
      </c>
      <c r="M113" s="43">
        <v>0</v>
      </c>
      <c r="N113" s="1">
        <f t="shared" ref="N113" si="310">(L113+K113+M113)/E113</f>
        <v>6</v>
      </c>
      <c r="O113" s="1">
        <f t="shared" ref="O113" si="311">N113*E113</f>
        <v>3900</v>
      </c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</row>
    <row r="114" spans="1:33" s="32" customFormat="1" ht="15" customHeight="1">
      <c r="A114" s="37">
        <v>44320</v>
      </c>
      <c r="B114" s="57" t="s">
        <v>24</v>
      </c>
      <c r="C114" s="20" t="s">
        <v>46</v>
      </c>
      <c r="D114" s="20">
        <v>285</v>
      </c>
      <c r="E114" s="38">
        <v>2850</v>
      </c>
      <c r="F114" s="20" t="s">
        <v>8</v>
      </c>
      <c r="G114" s="43">
        <v>10</v>
      </c>
      <c r="H114" s="43">
        <v>11</v>
      </c>
      <c r="I114" s="43">
        <v>0</v>
      </c>
      <c r="J114" s="43">
        <v>0</v>
      </c>
      <c r="K114" s="1">
        <f t="shared" ref="K114" si="312">(IF(F114="SELL",G114-H114,IF(F114="BUY",H114-G114)))*E114</f>
        <v>2850</v>
      </c>
      <c r="L114" s="43">
        <v>0</v>
      </c>
      <c r="M114" s="43">
        <v>0</v>
      </c>
      <c r="N114" s="1">
        <f t="shared" ref="N114" si="313">(L114+K114+M114)/E114</f>
        <v>1</v>
      </c>
      <c r="O114" s="1">
        <f t="shared" ref="O114" si="314">N114*E114</f>
        <v>2850</v>
      </c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</row>
    <row r="115" spans="1:33" s="32" customFormat="1" ht="15" customHeight="1">
      <c r="A115" s="37">
        <v>44319</v>
      </c>
      <c r="B115" s="57" t="s">
        <v>109</v>
      </c>
      <c r="C115" s="20" t="s">
        <v>47</v>
      </c>
      <c r="D115" s="20">
        <v>500</v>
      </c>
      <c r="E115" s="38">
        <v>1600</v>
      </c>
      <c r="F115" s="20" t="s">
        <v>8</v>
      </c>
      <c r="G115" s="43">
        <v>15</v>
      </c>
      <c r="H115" s="43">
        <v>17</v>
      </c>
      <c r="I115" s="43">
        <v>0</v>
      </c>
      <c r="J115" s="43">
        <v>0</v>
      </c>
      <c r="K115" s="1">
        <f t="shared" ref="K115" si="315">(IF(F115="SELL",G115-H115,IF(F115="BUY",H115-G115)))*E115</f>
        <v>3200</v>
      </c>
      <c r="L115" s="43">
        <v>0</v>
      </c>
      <c r="M115" s="43">
        <v>0</v>
      </c>
      <c r="N115" s="1">
        <f t="shared" ref="N115" si="316">(L115+K115+M115)/E115</f>
        <v>2</v>
      </c>
      <c r="O115" s="1">
        <f t="shared" ref="O115" si="317">N115*E115</f>
        <v>3200</v>
      </c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</row>
    <row r="116" spans="1:33" s="32" customFormat="1" ht="15" customHeight="1">
      <c r="A116" s="37">
        <v>44319</v>
      </c>
      <c r="B116" s="57" t="s">
        <v>24</v>
      </c>
      <c r="C116" s="20" t="s">
        <v>47</v>
      </c>
      <c r="D116" s="20">
        <v>305</v>
      </c>
      <c r="E116" s="38">
        <v>2850</v>
      </c>
      <c r="F116" s="20" t="s">
        <v>8</v>
      </c>
      <c r="G116" s="43">
        <v>10.5</v>
      </c>
      <c r="H116" s="43">
        <v>11.4</v>
      </c>
      <c r="I116" s="43">
        <v>0</v>
      </c>
      <c r="J116" s="43">
        <v>0</v>
      </c>
      <c r="K116" s="1">
        <f t="shared" ref="K116" si="318">(IF(F116="SELL",G116-H116,IF(F116="BUY",H116-G116)))*E116</f>
        <v>2565.0000000000009</v>
      </c>
      <c r="L116" s="43">
        <v>0</v>
      </c>
      <c r="M116" s="43">
        <v>0</v>
      </c>
      <c r="N116" s="1">
        <f t="shared" ref="N116" si="319">(L116+K116+M116)/E116</f>
        <v>0.90000000000000036</v>
      </c>
      <c r="O116" s="1">
        <f t="shared" ref="O116" si="320">N116*E116</f>
        <v>2565.0000000000009</v>
      </c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</row>
    <row r="117" spans="1:33" s="32" customFormat="1" ht="15" customHeight="1">
      <c r="A117" s="37">
        <v>44316</v>
      </c>
      <c r="B117" s="57" t="s">
        <v>24</v>
      </c>
      <c r="C117" s="20" t="s">
        <v>47</v>
      </c>
      <c r="D117" s="20">
        <v>305</v>
      </c>
      <c r="E117" s="38">
        <v>2850</v>
      </c>
      <c r="F117" s="20" t="s">
        <v>8</v>
      </c>
      <c r="G117" s="43">
        <v>15</v>
      </c>
      <c r="H117" s="43">
        <v>16</v>
      </c>
      <c r="I117" s="43">
        <v>0</v>
      </c>
      <c r="J117" s="43">
        <v>0</v>
      </c>
      <c r="K117" s="1">
        <f t="shared" ref="K117" si="321">(IF(F117="SELL",G117-H117,IF(F117="BUY",H117-G117)))*E117</f>
        <v>2850</v>
      </c>
      <c r="L117" s="43">
        <v>0</v>
      </c>
      <c r="M117" s="43">
        <v>0</v>
      </c>
      <c r="N117" s="1">
        <f t="shared" ref="N117" si="322">(L117+K117+M117)/E117</f>
        <v>1</v>
      </c>
      <c r="O117" s="1">
        <f t="shared" ref="O117" si="323">N117*E117</f>
        <v>2850</v>
      </c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</row>
    <row r="118" spans="1:33" s="32" customFormat="1" ht="15" customHeight="1">
      <c r="A118" s="37">
        <v>44316</v>
      </c>
      <c r="B118" s="57" t="s">
        <v>26</v>
      </c>
      <c r="C118" s="20" t="s">
        <v>47</v>
      </c>
      <c r="D118" s="20">
        <v>1050</v>
      </c>
      <c r="E118" s="38">
        <v>850</v>
      </c>
      <c r="F118" s="20" t="s">
        <v>8</v>
      </c>
      <c r="G118" s="43">
        <v>53</v>
      </c>
      <c r="H118" s="43">
        <v>56</v>
      </c>
      <c r="I118" s="43">
        <v>0</v>
      </c>
      <c r="J118" s="43">
        <v>0</v>
      </c>
      <c r="K118" s="1">
        <f t="shared" ref="K118" si="324">(IF(F118="SELL",G118-H118,IF(F118="BUY",H118-G118)))*E118</f>
        <v>2550</v>
      </c>
      <c r="L118" s="43">
        <v>0</v>
      </c>
      <c r="M118" s="43">
        <v>0</v>
      </c>
      <c r="N118" s="1">
        <f t="shared" ref="N118" si="325">(L118+K118+M118)/E118</f>
        <v>3</v>
      </c>
      <c r="O118" s="1">
        <f t="shared" ref="O118" si="326">N118*E118</f>
        <v>2550</v>
      </c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</row>
    <row r="119" spans="1:33" s="32" customFormat="1" ht="15" customHeight="1">
      <c r="A119" s="37">
        <v>44316</v>
      </c>
      <c r="B119" s="57" t="s">
        <v>461</v>
      </c>
      <c r="C119" s="20" t="s">
        <v>47</v>
      </c>
      <c r="D119" s="20">
        <v>4000</v>
      </c>
      <c r="E119" s="38">
        <v>250</v>
      </c>
      <c r="F119" s="20" t="s">
        <v>8</v>
      </c>
      <c r="G119" s="43">
        <v>125</v>
      </c>
      <c r="H119" s="43">
        <v>140</v>
      </c>
      <c r="I119" s="43">
        <v>0</v>
      </c>
      <c r="J119" s="43">
        <v>0</v>
      </c>
      <c r="K119" s="1">
        <f t="shared" ref="K119" si="327">(IF(F119="SELL",G119-H119,IF(F119="BUY",H119-G119)))*E119</f>
        <v>3750</v>
      </c>
      <c r="L119" s="43">
        <v>0</v>
      </c>
      <c r="M119" s="43">
        <v>0</v>
      </c>
      <c r="N119" s="1">
        <f t="shared" ref="N119" si="328">(L119+K119+M119)/E119</f>
        <v>15</v>
      </c>
      <c r="O119" s="1">
        <f t="shared" ref="O119" si="329">N119*E119</f>
        <v>3750</v>
      </c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</row>
    <row r="120" spans="1:33" s="32" customFormat="1" ht="15" customHeight="1">
      <c r="A120" s="37">
        <v>44315</v>
      </c>
      <c r="B120" s="57" t="s">
        <v>122</v>
      </c>
      <c r="C120" s="20" t="s">
        <v>46</v>
      </c>
      <c r="D120" s="20">
        <v>2560</v>
      </c>
      <c r="E120" s="38">
        <v>300</v>
      </c>
      <c r="F120" s="20" t="s">
        <v>8</v>
      </c>
      <c r="G120" s="43">
        <v>10</v>
      </c>
      <c r="H120" s="43">
        <v>17</v>
      </c>
      <c r="I120" s="43">
        <v>0</v>
      </c>
      <c r="J120" s="43">
        <v>0</v>
      </c>
      <c r="K120" s="1">
        <f t="shared" ref="K120" si="330">(IF(F120="SELL",G120-H120,IF(F120="BUY",H120-G120)))*E120</f>
        <v>2100</v>
      </c>
      <c r="L120" s="43">
        <v>0</v>
      </c>
      <c r="M120" s="43">
        <v>0</v>
      </c>
      <c r="N120" s="1">
        <f t="shared" ref="N120" si="331">(L120+K120+M120)/E120</f>
        <v>7</v>
      </c>
      <c r="O120" s="1">
        <f t="shared" ref="O120" si="332">N120*E120</f>
        <v>2100</v>
      </c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</row>
    <row r="121" spans="1:33" s="32" customFormat="1" ht="15" customHeight="1">
      <c r="A121" s="37">
        <v>44315</v>
      </c>
      <c r="B121" s="57" t="s">
        <v>328</v>
      </c>
      <c r="C121" s="20" t="s">
        <v>46</v>
      </c>
      <c r="D121" s="20">
        <v>570</v>
      </c>
      <c r="E121" s="38">
        <v>2500</v>
      </c>
      <c r="F121" s="20" t="s">
        <v>8</v>
      </c>
      <c r="G121" s="43">
        <v>1.6</v>
      </c>
      <c r="H121" s="43">
        <v>0.3</v>
      </c>
      <c r="I121" s="43">
        <v>0</v>
      </c>
      <c r="J121" s="43">
        <v>0</v>
      </c>
      <c r="K121" s="1">
        <f t="shared" ref="K121" si="333">(IF(F121="SELL",G121-H121,IF(F121="BUY",H121-G121)))*E121</f>
        <v>-3250</v>
      </c>
      <c r="L121" s="43">
        <v>0</v>
      </c>
      <c r="M121" s="43">
        <v>0</v>
      </c>
      <c r="N121" s="1">
        <f t="shared" ref="N121" si="334">(L121+K121+M121)/E121</f>
        <v>-1.3</v>
      </c>
      <c r="O121" s="1">
        <f t="shared" ref="O121" si="335">N121*E121</f>
        <v>-3250</v>
      </c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</row>
    <row r="122" spans="1:33" s="32" customFormat="1" ht="15" customHeight="1">
      <c r="A122" s="37">
        <v>44315</v>
      </c>
      <c r="B122" s="57" t="s">
        <v>367</v>
      </c>
      <c r="C122" s="20" t="s">
        <v>46</v>
      </c>
      <c r="D122" s="20">
        <v>210</v>
      </c>
      <c r="E122" s="38">
        <v>2500</v>
      </c>
      <c r="F122" s="20" t="s">
        <v>8</v>
      </c>
      <c r="G122" s="43">
        <v>1</v>
      </c>
      <c r="H122" s="43">
        <v>1.5</v>
      </c>
      <c r="I122" s="43">
        <v>2</v>
      </c>
      <c r="J122" s="43">
        <v>0</v>
      </c>
      <c r="K122" s="1">
        <f t="shared" ref="K122" si="336">(IF(F122="SELL",G122-H122,IF(F122="BUY",H122-G122)))*E122</f>
        <v>1250</v>
      </c>
      <c r="L122" s="43">
        <v>0</v>
      </c>
      <c r="M122" s="43">
        <v>0</v>
      </c>
      <c r="N122" s="1">
        <f t="shared" ref="N122" si="337">(L122+K122+M122)/E122</f>
        <v>0.5</v>
      </c>
      <c r="O122" s="1">
        <f t="shared" ref="O122" si="338">N122*E122</f>
        <v>1250</v>
      </c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</row>
    <row r="123" spans="1:33" s="32" customFormat="1" ht="15" customHeight="1">
      <c r="A123" s="37">
        <v>44314</v>
      </c>
      <c r="B123" s="57" t="s">
        <v>270</v>
      </c>
      <c r="C123" s="20" t="s">
        <v>47</v>
      </c>
      <c r="D123" s="20">
        <v>440</v>
      </c>
      <c r="E123" s="38">
        <v>2500</v>
      </c>
      <c r="F123" s="20" t="s">
        <v>8</v>
      </c>
      <c r="G123" s="43">
        <v>5</v>
      </c>
      <c r="H123" s="43">
        <v>5.8</v>
      </c>
      <c r="I123" s="43">
        <v>0</v>
      </c>
      <c r="J123" s="43">
        <v>0</v>
      </c>
      <c r="K123" s="1">
        <f t="shared" ref="K123" si="339">(IF(F123="SELL",G123-H123,IF(F123="BUY",H123-G123)))*E123</f>
        <v>1999.9999999999995</v>
      </c>
      <c r="L123" s="43">
        <v>0</v>
      </c>
      <c r="M123" s="43">
        <v>0</v>
      </c>
      <c r="N123" s="1">
        <f t="shared" ref="N123" si="340">(L123+K123+M123)/E123</f>
        <v>0.79999999999999982</v>
      </c>
      <c r="O123" s="1">
        <f t="shared" ref="O123" si="341">N123*E123</f>
        <v>1999.9999999999995</v>
      </c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</row>
    <row r="124" spans="1:33" s="32" customFormat="1" ht="15" customHeight="1">
      <c r="A124" s="37">
        <v>44314</v>
      </c>
      <c r="B124" s="57" t="s">
        <v>24</v>
      </c>
      <c r="C124" s="20" t="s">
        <v>47</v>
      </c>
      <c r="D124" s="20">
        <v>310</v>
      </c>
      <c r="E124" s="38">
        <v>2850</v>
      </c>
      <c r="F124" s="20" t="s">
        <v>8</v>
      </c>
      <c r="G124" s="43">
        <v>3</v>
      </c>
      <c r="H124" s="43">
        <v>3.5</v>
      </c>
      <c r="I124" s="43">
        <v>0</v>
      </c>
      <c r="J124" s="43">
        <v>0</v>
      </c>
      <c r="K124" s="1">
        <f t="shared" ref="K124" si="342">(IF(F124="SELL",G124-H124,IF(F124="BUY",H124-G124)))*E124</f>
        <v>1425</v>
      </c>
      <c r="L124" s="43">
        <v>0</v>
      </c>
      <c r="M124" s="43">
        <v>0</v>
      </c>
      <c r="N124" s="1">
        <f t="shared" ref="N124" si="343">(L124+K124+M124)/E124</f>
        <v>0.5</v>
      </c>
      <c r="O124" s="1">
        <f t="shared" ref="O124" si="344">N124*E124</f>
        <v>1425</v>
      </c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</row>
    <row r="125" spans="1:33" s="32" customFormat="1" ht="15" customHeight="1">
      <c r="A125" s="37">
        <v>44314</v>
      </c>
      <c r="B125" s="57" t="s">
        <v>367</v>
      </c>
      <c r="C125" s="20" t="s">
        <v>47</v>
      </c>
      <c r="D125" s="20">
        <v>210</v>
      </c>
      <c r="E125" s="38">
        <v>2500</v>
      </c>
      <c r="F125" s="20" t="s">
        <v>8</v>
      </c>
      <c r="G125" s="43">
        <v>1.85</v>
      </c>
      <c r="H125" s="43">
        <v>20.5</v>
      </c>
      <c r="I125" s="43">
        <v>0</v>
      </c>
      <c r="J125" s="43">
        <v>0</v>
      </c>
      <c r="K125" s="1">
        <f t="shared" ref="K125" si="345">(IF(F125="SELL",G125-H125,IF(F125="BUY",H125-G125)))*E125</f>
        <v>46625</v>
      </c>
      <c r="L125" s="43">
        <v>0</v>
      </c>
      <c r="M125" s="43">
        <v>0</v>
      </c>
      <c r="N125" s="1">
        <f t="shared" ref="N125" si="346">(L125+K125+M125)/E125</f>
        <v>18.649999999999999</v>
      </c>
      <c r="O125" s="1">
        <f t="shared" ref="O125" si="347">N125*E125</f>
        <v>46625</v>
      </c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</row>
    <row r="126" spans="1:33" s="32" customFormat="1" ht="15" customHeight="1">
      <c r="A126" s="37">
        <v>44313</v>
      </c>
      <c r="B126" s="57" t="s">
        <v>21</v>
      </c>
      <c r="C126" s="20" t="s">
        <v>47</v>
      </c>
      <c r="D126" s="20">
        <v>355</v>
      </c>
      <c r="E126" s="38">
        <v>1500</v>
      </c>
      <c r="F126" s="20" t="s">
        <v>8</v>
      </c>
      <c r="G126" s="43">
        <v>2.2999999999999998</v>
      </c>
      <c r="H126" s="43">
        <v>3.5</v>
      </c>
      <c r="I126" s="43">
        <v>0</v>
      </c>
      <c r="J126" s="43">
        <v>0</v>
      </c>
      <c r="K126" s="1">
        <f t="shared" ref="K126" si="348">(IF(F126="SELL",G126-H126,IF(F126="BUY",H126-G126)))*E126</f>
        <v>1800.0000000000002</v>
      </c>
      <c r="L126" s="43">
        <v>0</v>
      </c>
      <c r="M126" s="43">
        <v>0</v>
      </c>
      <c r="N126" s="1">
        <f t="shared" ref="N126" si="349">(L126+K126+M126)/E126</f>
        <v>1.2000000000000002</v>
      </c>
      <c r="O126" s="1">
        <f t="shared" ref="O126" si="350">N126*E126</f>
        <v>1800.0000000000002</v>
      </c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</row>
    <row r="127" spans="1:33" s="32" customFormat="1" ht="15" customHeight="1">
      <c r="A127" s="37">
        <v>44313</v>
      </c>
      <c r="B127" s="57" t="s">
        <v>69</v>
      </c>
      <c r="C127" s="20" t="s">
        <v>47</v>
      </c>
      <c r="D127" s="20">
        <v>215</v>
      </c>
      <c r="E127" s="38">
        <v>7000</v>
      </c>
      <c r="F127" s="20" t="s">
        <v>8</v>
      </c>
      <c r="G127" s="43">
        <v>3</v>
      </c>
      <c r="H127" s="43">
        <v>3.5</v>
      </c>
      <c r="I127" s="43">
        <v>0</v>
      </c>
      <c r="J127" s="43">
        <v>0</v>
      </c>
      <c r="K127" s="1">
        <f t="shared" ref="K127" si="351">(IF(F127="SELL",G127-H127,IF(F127="BUY",H127-G127)))*E127</f>
        <v>3500</v>
      </c>
      <c r="L127" s="43">
        <v>0</v>
      </c>
      <c r="M127" s="43">
        <v>0</v>
      </c>
      <c r="N127" s="1">
        <f t="shared" ref="N127" si="352">(L127+K127+M127)/E127</f>
        <v>0.5</v>
      </c>
      <c r="O127" s="1">
        <f t="shared" ref="O127" si="353">N127*E127</f>
        <v>3500</v>
      </c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</row>
    <row r="128" spans="1:33" s="32" customFormat="1" ht="15" customHeight="1">
      <c r="A128" s="37">
        <v>44313</v>
      </c>
      <c r="B128" s="57" t="s">
        <v>270</v>
      </c>
      <c r="C128" s="20" t="s">
        <v>47</v>
      </c>
      <c r="D128" s="20">
        <v>450</v>
      </c>
      <c r="E128" s="38">
        <v>2500</v>
      </c>
      <c r="F128" s="20" t="s">
        <v>8</v>
      </c>
      <c r="G128" s="43">
        <v>8</v>
      </c>
      <c r="H128" s="43">
        <v>8.5</v>
      </c>
      <c r="I128" s="43">
        <v>0</v>
      </c>
      <c r="J128" s="43">
        <v>0</v>
      </c>
      <c r="K128" s="1">
        <f t="shared" ref="K128" si="354">(IF(F128="SELL",G128-H128,IF(F128="BUY",H128-G128)))*E128</f>
        <v>1250</v>
      </c>
      <c r="L128" s="43">
        <v>0</v>
      </c>
      <c r="M128" s="43">
        <v>0</v>
      </c>
      <c r="N128" s="1">
        <f t="shared" ref="N128" si="355">(L128+K128+M128)/E128</f>
        <v>0.5</v>
      </c>
      <c r="O128" s="1">
        <f t="shared" ref="O128" si="356">N128*E128</f>
        <v>1250</v>
      </c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</row>
    <row r="129" spans="1:33" s="32" customFormat="1" ht="15" customHeight="1">
      <c r="A129" s="37">
        <v>44312</v>
      </c>
      <c r="B129" s="57" t="s">
        <v>270</v>
      </c>
      <c r="C129" s="20" t="s">
        <v>47</v>
      </c>
      <c r="D129" s="20">
        <v>450</v>
      </c>
      <c r="E129" s="38">
        <v>2500</v>
      </c>
      <c r="F129" s="20" t="s">
        <v>8</v>
      </c>
      <c r="G129" s="43">
        <v>6</v>
      </c>
      <c r="H129" s="43">
        <v>6.8</v>
      </c>
      <c r="I129" s="43">
        <v>0</v>
      </c>
      <c r="J129" s="43">
        <v>0</v>
      </c>
      <c r="K129" s="1">
        <f t="shared" ref="K129" si="357">(IF(F129="SELL",G129-H129,IF(F129="BUY",H129-G129)))*E129</f>
        <v>1999.9999999999995</v>
      </c>
      <c r="L129" s="43">
        <v>0</v>
      </c>
      <c r="M129" s="43">
        <v>0</v>
      </c>
      <c r="N129" s="1">
        <f t="shared" ref="N129" si="358">(L129+K129+M129)/E129</f>
        <v>0.79999999999999982</v>
      </c>
      <c r="O129" s="1">
        <f t="shared" ref="O129" si="359">N129*E129</f>
        <v>1999.9999999999995</v>
      </c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</row>
    <row r="130" spans="1:33" s="32" customFormat="1" ht="15" customHeight="1">
      <c r="A130" s="37">
        <v>44312</v>
      </c>
      <c r="B130" s="57" t="s">
        <v>464</v>
      </c>
      <c r="C130" s="20" t="s">
        <v>47</v>
      </c>
      <c r="D130" s="20">
        <v>4800</v>
      </c>
      <c r="E130" s="38">
        <v>125</v>
      </c>
      <c r="F130" s="20" t="s">
        <v>8</v>
      </c>
      <c r="G130" s="43">
        <v>92</v>
      </c>
      <c r="H130" s="43">
        <v>105</v>
      </c>
      <c r="I130" s="43">
        <v>0</v>
      </c>
      <c r="J130" s="43">
        <v>0</v>
      </c>
      <c r="K130" s="1">
        <f t="shared" ref="K130" si="360">(IF(F130="SELL",G130-H130,IF(F130="BUY",H130-G130)))*E130</f>
        <v>1625</v>
      </c>
      <c r="L130" s="43">
        <v>0</v>
      </c>
      <c r="M130" s="43">
        <v>0</v>
      </c>
      <c r="N130" s="1">
        <f t="shared" ref="N130" si="361">(L130+K130+M130)/E130</f>
        <v>13</v>
      </c>
      <c r="O130" s="1">
        <f t="shared" ref="O130" si="362">N130*E130</f>
        <v>1625</v>
      </c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</row>
    <row r="131" spans="1:33" s="32" customFormat="1" ht="15" customHeight="1">
      <c r="A131" s="37">
        <v>44309</v>
      </c>
      <c r="B131" s="57" t="s">
        <v>16</v>
      </c>
      <c r="C131" s="20" t="s">
        <v>46</v>
      </c>
      <c r="D131" s="20">
        <v>710</v>
      </c>
      <c r="E131" s="38">
        <v>1250</v>
      </c>
      <c r="F131" s="20" t="s">
        <v>8</v>
      </c>
      <c r="G131" s="43">
        <v>12</v>
      </c>
      <c r="H131" s="43">
        <v>14</v>
      </c>
      <c r="I131" s="43">
        <v>0</v>
      </c>
      <c r="J131" s="43">
        <v>0</v>
      </c>
      <c r="K131" s="1">
        <f t="shared" ref="K131" si="363">(IF(F131="SELL",G131-H131,IF(F131="BUY",H131-G131)))*E131</f>
        <v>2500</v>
      </c>
      <c r="L131" s="43">
        <v>0</v>
      </c>
      <c r="M131" s="43">
        <v>0</v>
      </c>
      <c r="N131" s="1">
        <f t="shared" ref="N131" si="364">(L131+K131+M131)/E131</f>
        <v>2</v>
      </c>
      <c r="O131" s="1">
        <f t="shared" ref="O131" si="365">N131*E131</f>
        <v>2500</v>
      </c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</row>
    <row r="132" spans="1:33" s="32" customFormat="1" ht="15" customHeight="1">
      <c r="A132" s="37">
        <v>44309</v>
      </c>
      <c r="B132" s="57" t="s">
        <v>453</v>
      </c>
      <c r="C132" s="20" t="s">
        <v>46</v>
      </c>
      <c r="D132" s="20">
        <v>1120</v>
      </c>
      <c r="E132" s="38">
        <v>550</v>
      </c>
      <c r="F132" s="20" t="s">
        <v>8</v>
      </c>
      <c r="G132" s="43">
        <v>13.6</v>
      </c>
      <c r="H132" s="43">
        <v>18.5</v>
      </c>
      <c r="I132" s="43">
        <v>0</v>
      </c>
      <c r="J132" s="43">
        <v>0</v>
      </c>
      <c r="K132" s="1">
        <f t="shared" ref="K132" si="366">(IF(F132="SELL",G132-H132,IF(F132="BUY",H132-G132)))*E132</f>
        <v>2695</v>
      </c>
      <c r="L132" s="43">
        <v>0</v>
      </c>
      <c r="M132" s="43">
        <v>0</v>
      </c>
      <c r="N132" s="1">
        <f t="shared" ref="N132" si="367">(L132+K132+M132)/E132</f>
        <v>4.9000000000000004</v>
      </c>
      <c r="O132" s="1">
        <f t="shared" ref="O132" si="368">N132*E132</f>
        <v>2695</v>
      </c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</row>
    <row r="133" spans="1:33" s="32" customFormat="1" ht="15" customHeight="1">
      <c r="A133" s="37">
        <v>44308</v>
      </c>
      <c r="B133" s="57" t="s">
        <v>69</v>
      </c>
      <c r="C133" s="20" t="s">
        <v>47</v>
      </c>
      <c r="D133" s="20">
        <v>212.5</v>
      </c>
      <c r="E133" s="38">
        <v>7000</v>
      </c>
      <c r="F133" s="20" t="s">
        <v>8</v>
      </c>
      <c r="G133" s="43">
        <v>4.3</v>
      </c>
      <c r="H133" s="43">
        <v>5</v>
      </c>
      <c r="I133" s="43">
        <v>0</v>
      </c>
      <c r="J133" s="43">
        <v>0</v>
      </c>
      <c r="K133" s="1">
        <f t="shared" ref="K133" si="369">(IF(F133="SELL",G133-H133,IF(F133="BUY",H133-G133)))*E133</f>
        <v>4900.0000000000009</v>
      </c>
      <c r="L133" s="43">
        <v>0</v>
      </c>
      <c r="M133" s="43">
        <v>0</v>
      </c>
      <c r="N133" s="1">
        <f t="shared" ref="N133" si="370">(L133+K133+M133)/E133</f>
        <v>0.70000000000000018</v>
      </c>
      <c r="O133" s="1">
        <f t="shared" ref="O133" si="371">N133*E133</f>
        <v>4900.0000000000009</v>
      </c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</row>
    <row r="134" spans="1:33" s="32" customFormat="1" ht="15" customHeight="1">
      <c r="A134" s="37">
        <v>44308</v>
      </c>
      <c r="B134" s="57" t="s">
        <v>328</v>
      </c>
      <c r="C134" s="20" t="s">
        <v>47</v>
      </c>
      <c r="D134" s="20">
        <v>590</v>
      </c>
      <c r="E134" s="38">
        <v>2500</v>
      </c>
      <c r="F134" s="20" t="s">
        <v>8</v>
      </c>
      <c r="G134" s="43">
        <v>5</v>
      </c>
      <c r="H134" s="43">
        <v>6</v>
      </c>
      <c r="I134" s="43">
        <v>0</v>
      </c>
      <c r="J134" s="43">
        <v>0</v>
      </c>
      <c r="K134" s="1">
        <f t="shared" ref="K134" si="372">(IF(F134="SELL",G134-H134,IF(F134="BUY",H134-G134)))*E134</f>
        <v>2500</v>
      </c>
      <c r="L134" s="43">
        <v>0</v>
      </c>
      <c r="M134" s="43">
        <v>0</v>
      </c>
      <c r="N134" s="1">
        <f t="shared" ref="N134" si="373">(L134+K134+M134)/E134</f>
        <v>1</v>
      </c>
      <c r="O134" s="1">
        <f t="shared" ref="O134" si="374">N134*E134</f>
        <v>2500</v>
      </c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</row>
    <row r="135" spans="1:33" s="32" customFormat="1" ht="15" customHeight="1">
      <c r="A135" s="37">
        <v>44308</v>
      </c>
      <c r="B135" s="57" t="s">
        <v>332</v>
      </c>
      <c r="C135" s="20" t="s">
        <v>47</v>
      </c>
      <c r="D135" s="20">
        <v>1020</v>
      </c>
      <c r="E135" s="38">
        <v>1200</v>
      </c>
      <c r="F135" s="20" t="s">
        <v>8</v>
      </c>
      <c r="G135" s="43">
        <v>11</v>
      </c>
      <c r="H135" s="43">
        <v>8</v>
      </c>
      <c r="I135" s="43">
        <v>0</v>
      </c>
      <c r="J135" s="43">
        <v>0</v>
      </c>
      <c r="K135" s="1">
        <f t="shared" ref="K135" si="375">(IF(F135="SELL",G135-H135,IF(F135="BUY",H135-G135)))*E135</f>
        <v>-3600</v>
      </c>
      <c r="L135" s="43">
        <v>0</v>
      </c>
      <c r="M135" s="43">
        <v>0</v>
      </c>
      <c r="N135" s="1">
        <f t="shared" ref="N135" si="376">(L135+K135+M135)/E135</f>
        <v>-3</v>
      </c>
      <c r="O135" s="1">
        <f t="shared" ref="O135" si="377">N135*E135</f>
        <v>-3600</v>
      </c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</row>
    <row r="136" spans="1:33" s="32" customFormat="1" ht="15" customHeight="1">
      <c r="A136" s="37">
        <v>44308</v>
      </c>
      <c r="B136" s="57" t="s">
        <v>26</v>
      </c>
      <c r="C136" s="20" t="s">
        <v>47</v>
      </c>
      <c r="D136" s="20">
        <v>940</v>
      </c>
      <c r="E136" s="38">
        <v>850</v>
      </c>
      <c r="F136" s="20" t="s">
        <v>8</v>
      </c>
      <c r="G136" s="43">
        <v>19</v>
      </c>
      <c r="H136" s="43">
        <v>21</v>
      </c>
      <c r="I136" s="43">
        <v>0</v>
      </c>
      <c r="J136" s="43">
        <v>0</v>
      </c>
      <c r="K136" s="1">
        <f t="shared" ref="K136" si="378">(IF(F136="SELL",G136-H136,IF(F136="BUY",H136-G136)))*E136</f>
        <v>1700</v>
      </c>
      <c r="L136" s="43">
        <v>0</v>
      </c>
      <c r="M136" s="43">
        <v>0</v>
      </c>
      <c r="N136" s="1">
        <f t="shared" ref="N136" si="379">(L136+K136+M136)/E136</f>
        <v>2</v>
      </c>
      <c r="O136" s="1">
        <f t="shared" ref="O136" si="380">N136*E136</f>
        <v>1700</v>
      </c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</row>
    <row r="137" spans="1:33" s="32" customFormat="1" ht="15" customHeight="1">
      <c r="A137" s="37">
        <v>44306</v>
      </c>
      <c r="B137" s="57" t="s">
        <v>116</v>
      </c>
      <c r="C137" s="20" t="s">
        <v>46</v>
      </c>
      <c r="D137" s="20">
        <v>1060</v>
      </c>
      <c r="E137" s="38">
        <v>2000</v>
      </c>
      <c r="F137" s="20" t="s">
        <v>8</v>
      </c>
      <c r="G137" s="43">
        <v>14</v>
      </c>
      <c r="H137" s="43">
        <v>16</v>
      </c>
      <c r="I137" s="43">
        <v>0</v>
      </c>
      <c r="J137" s="43">
        <v>0</v>
      </c>
      <c r="K137" s="1">
        <f t="shared" ref="K137" si="381">(IF(F137="SELL",G137-H137,IF(F137="BUY",H137-G137)))*E137</f>
        <v>4000</v>
      </c>
      <c r="L137" s="43">
        <v>0</v>
      </c>
      <c r="M137" s="43">
        <v>0</v>
      </c>
      <c r="N137" s="1">
        <f t="shared" ref="N137" si="382">(L137+K137+M137)/E137</f>
        <v>2</v>
      </c>
      <c r="O137" s="1">
        <f t="shared" ref="O137" si="383">N137*E137</f>
        <v>4000</v>
      </c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</row>
    <row r="138" spans="1:33" s="32" customFormat="1" ht="15" customHeight="1">
      <c r="A138" s="37">
        <v>44306</v>
      </c>
      <c r="B138" s="57" t="s">
        <v>24</v>
      </c>
      <c r="C138" s="20" t="s">
        <v>46</v>
      </c>
      <c r="D138" s="20">
        <v>290</v>
      </c>
      <c r="E138" s="38">
        <v>5700</v>
      </c>
      <c r="F138" s="20" t="s">
        <v>8</v>
      </c>
      <c r="G138" s="43">
        <v>5.5</v>
      </c>
      <c r="H138" s="43">
        <v>6.2</v>
      </c>
      <c r="I138" s="43">
        <v>0</v>
      </c>
      <c r="J138" s="43">
        <v>0</v>
      </c>
      <c r="K138" s="1">
        <f t="shared" ref="K138" si="384">(IF(F138="SELL",G138-H138,IF(F138="BUY",H138-G138)))*E138</f>
        <v>3990.0000000000009</v>
      </c>
      <c r="L138" s="43">
        <v>0</v>
      </c>
      <c r="M138" s="43">
        <v>0</v>
      </c>
      <c r="N138" s="1">
        <f t="shared" ref="N138" si="385">(L138+K138+M138)/E138</f>
        <v>0.70000000000000018</v>
      </c>
      <c r="O138" s="1">
        <f t="shared" ref="O138" si="386">N138*E138</f>
        <v>3990.0000000000009</v>
      </c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</row>
    <row r="139" spans="1:33" s="32" customFormat="1" ht="15" customHeight="1">
      <c r="A139" s="37">
        <v>44306</v>
      </c>
      <c r="B139" s="57" t="s">
        <v>336</v>
      </c>
      <c r="C139" s="20" t="s">
        <v>47</v>
      </c>
      <c r="D139" s="20">
        <v>1740</v>
      </c>
      <c r="E139" s="38">
        <v>400</v>
      </c>
      <c r="F139" s="20" t="s">
        <v>8</v>
      </c>
      <c r="G139" s="43">
        <v>35</v>
      </c>
      <c r="H139" s="43">
        <v>44</v>
      </c>
      <c r="I139" s="43">
        <v>0</v>
      </c>
      <c r="J139" s="43">
        <v>0</v>
      </c>
      <c r="K139" s="1">
        <f t="shared" ref="K139" si="387">(IF(F139="SELL",G139-H139,IF(F139="BUY",H139-G139)))*E139</f>
        <v>3600</v>
      </c>
      <c r="L139" s="43">
        <v>0</v>
      </c>
      <c r="M139" s="43">
        <v>0</v>
      </c>
      <c r="N139" s="1">
        <f t="shared" ref="N139" si="388">(L139+K139+M139)/E139</f>
        <v>9</v>
      </c>
      <c r="O139" s="1">
        <f t="shared" ref="O139" si="389">N139*E139</f>
        <v>3600</v>
      </c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</row>
    <row r="140" spans="1:33" s="32" customFormat="1" ht="15" customHeight="1">
      <c r="A140" s="37">
        <v>44305</v>
      </c>
      <c r="B140" s="57" t="s">
        <v>69</v>
      </c>
      <c r="C140" s="20" t="s">
        <v>47</v>
      </c>
      <c r="D140" s="20">
        <v>207.5</v>
      </c>
      <c r="E140" s="38">
        <v>7000</v>
      </c>
      <c r="F140" s="20" t="s">
        <v>8</v>
      </c>
      <c r="G140" s="43">
        <v>12</v>
      </c>
      <c r="H140" s="43">
        <v>12.7</v>
      </c>
      <c r="I140" s="43">
        <v>0</v>
      </c>
      <c r="J140" s="43">
        <v>0</v>
      </c>
      <c r="K140" s="1">
        <f t="shared" ref="K140" si="390">(IF(F140="SELL",G140-H140,IF(F140="BUY",H140-G140)))*E140</f>
        <v>4899.9999999999955</v>
      </c>
      <c r="L140" s="43">
        <v>0</v>
      </c>
      <c r="M140" s="43">
        <v>0</v>
      </c>
      <c r="N140" s="1">
        <f t="shared" ref="N140" si="391">(L140+K140+M140)/E140</f>
        <v>0.6999999999999994</v>
      </c>
      <c r="O140" s="1">
        <f t="shared" ref="O140" si="392">N140*E140</f>
        <v>4899.9999999999955</v>
      </c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</row>
    <row r="141" spans="1:33" s="32" customFormat="1" ht="15" customHeight="1">
      <c r="A141" s="37">
        <v>44305</v>
      </c>
      <c r="B141" s="57" t="s">
        <v>357</v>
      </c>
      <c r="C141" s="20" t="s">
        <v>47</v>
      </c>
      <c r="D141" s="20">
        <v>2140</v>
      </c>
      <c r="E141" s="38">
        <v>400</v>
      </c>
      <c r="F141" s="20" t="s">
        <v>8</v>
      </c>
      <c r="G141" s="43">
        <v>59</v>
      </c>
      <c r="H141" s="43">
        <v>68</v>
      </c>
      <c r="I141" s="43">
        <v>0</v>
      </c>
      <c r="J141" s="43">
        <v>0</v>
      </c>
      <c r="K141" s="1">
        <f t="shared" ref="K141" si="393">(IF(F141="SELL",G141-H141,IF(F141="BUY",H141-G141)))*E141</f>
        <v>3600</v>
      </c>
      <c r="L141" s="43">
        <v>0</v>
      </c>
      <c r="M141" s="43">
        <v>0</v>
      </c>
      <c r="N141" s="1">
        <f t="shared" ref="N141" si="394">(L141+K141+M141)/E141</f>
        <v>9</v>
      </c>
      <c r="O141" s="1">
        <f t="shared" ref="O141" si="395">N141*E141</f>
        <v>3600</v>
      </c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</row>
    <row r="142" spans="1:33" s="32" customFormat="1" ht="15" customHeight="1">
      <c r="A142" s="37">
        <v>44305</v>
      </c>
      <c r="B142" s="57" t="s">
        <v>16</v>
      </c>
      <c r="C142" s="20" t="s">
        <v>47</v>
      </c>
      <c r="D142" s="20">
        <v>740</v>
      </c>
      <c r="E142" s="38">
        <v>2500</v>
      </c>
      <c r="F142" s="20" t="s">
        <v>8</v>
      </c>
      <c r="G142" s="43">
        <v>27.5</v>
      </c>
      <c r="H142" s="43">
        <v>25</v>
      </c>
      <c r="I142" s="43">
        <v>0</v>
      </c>
      <c r="J142" s="43">
        <v>0</v>
      </c>
      <c r="K142" s="1">
        <f t="shared" ref="K142" si="396">(IF(F142="SELL",G142-H142,IF(F142="BUY",H142-G142)))*E142</f>
        <v>-6250</v>
      </c>
      <c r="L142" s="43">
        <v>0</v>
      </c>
      <c r="M142" s="43">
        <v>0</v>
      </c>
      <c r="N142" s="1">
        <f t="shared" ref="N142" si="397">(L142+K142+M142)/E142</f>
        <v>-2.5</v>
      </c>
      <c r="O142" s="1">
        <f t="shared" ref="O142" si="398">N142*E142</f>
        <v>-6250</v>
      </c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</row>
    <row r="143" spans="1:33" s="32" customFormat="1" ht="15" customHeight="1">
      <c r="A143" s="37">
        <v>44302</v>
      </c>
      <c r="B143" s="57" t="s">
        <v>270</v>
      </c>
      <c r="C143" s="20" t="s">
        <v>47</v>
      </c>
      <c r="D143" s="20">
        <v>440</v>
      </c>
      <c r="E143" s="38">
        <v>5000</v>
      </c>
      <c r="F143" s="20" t="s">
        <v>8</v>
      </c>
      <c r="G143" s="43">
        <v>10.1</v>
      </c>
      <c r="H143" s="43">
        <v>11</v>
      </c>
      <c r="I143" s="43">
        <v>0</v>
      </c>
      <c r="J143" s="43">
        <v>0</v>
      </c>
      <c r="K143" s="1">
        <f t="shared" ref="K143" si="399">(IF(F143="SELL",G143-H143,IF(F143="BUY",H143-G143)))*E143</f>
        <v>4500.0000000000018</v>
      </c>
      <c r="L143" s="43">
        <v>0</v>
      </c>
      <c r="M143" s="43">
        <v>0</v>
      </c>
      <c r="N143" s="1">
        <f t="shared" ref="N143" si="400">(L143+K143+M143)/E143</f>
        <v>0.90000000000000036</v>
      </c>
      <c r="O143" s="1">
        <f t="shared" ref="O143" si="401">N143*E143</f>
        <v>4500.0000000000018</v>
      </c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</row>
    <row r="144" spans="1:33" s="32" customFormat="1" ht="15" customHeight="1">
      <c r="A144" s="37">
        <v>44302</v>
      </c>
      <c r="B144" s="57" t="s">
        <v>24</v>
      </c>
      <c r="C144" s="20" t="s">
        <v>47</v>
      </c>
      <c r="D144" s="20">
        <v>305</v>
      </c>
      <c r="E144" s="38">
        <v>5700</v>
      </c>
      <c r="F144" s="20" t="s">
        <v>8</v>
      </c>
      <c r="G144" s="43">
        <v>13</v>
      </c>
      <c r="H144" s="43">
        <v>13.7</v>
      </c>
      <c r="I144" s="43">
        <v>0</v>
      </c>
      <c r="J144" s="43">
        <v>0</v>
      </c>
      <c r="K144" s="1">
        <f t="shared" ref="K144" si="402">(IF(F144="SELL",G144-H144,IF(F144="BUY",H144-G144)))*E144</f>
        <v>3989.9999999999959</v>
      </c>
      <c r="L144" s="43">
        <v>0</v>
      </c>
      <c r="M144" s="43">
        <v>0</v>
      </c>
      <c r="N144" s="1">
        <f t="shared" ref="N144" si="403">(L144+K144+M144)/E144</f>
        <v>0.69999999999999929</v>
      </c>
      <c r="O144" s="1">
        <f t="shared" ref="O144" si="404">N144*E144</f>
        <v>3989.9999999999959</v>
      </c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</row>
    <row r="145" spans="1:33" s="32" customFormat="1" ht="15" customHeight="1">
      <c r="A145" s="37">
        <v>44301</v>
      </c>
      <c r="B145" s="57" t="s">
        <v>357</v>
      </c>
      <c r="C145" s="20" t="s">
        <v>47</v>
      </c>
      <c r="D145" s="20">
        <v>2060</v>
      </c>
      <c r="E145" s="38">
        <v>400</v>
      </c>
      <c r="F145" s="20" t="s">
        <v>8</v>
      </c>
      <c r="G145" s="43">
        <v>55.6</v>
      </c>
      <c r="H145" s="43">
        <v>60</v>
      </c>
      <c r="I145" s="43">
        <v>0</v>
      </c>
      <c r="J145" s="43">
        <v>0</v>
      </c>
      <c r="K145" s="1">
        <f t="shared" ref="K145" si="405">(IF(F145="SELL",G145-H145,IF(F145="BUY",H145-G145)))*E145</f>
        <v>1759.9999999999995</v>
      </c>
      <c r="L145" s="43">
        <v>0</v>
      </c>
      <c r="M145" s="43">
        <v>0</v>
      </c>
      <c r="N145" s="1">
        <f t="shared" ref="N145" si="406">(L145+K145+M145)/E145</f>
        <v>4.3999999999999986</v>
      </c>
      <c r="O145" s="1">
        <f t="shared" ref="O145" si="407">N145*E145</f>
        <v>1759.9999999999995</v>
      </c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</row>
    <row r="146" spans="1:33" s="32" customFormat="1" ht="15" customHeight="1">
      <c r="A146" s="37">
        <v>44301</v>
      </c>
      <c r="B146" s="57" t="s">
        <v>13</v>
      </c>
      <c r="C146" s="20" t="s">
        <v>47</v>
      </c>
      <c r="D146" s="20">
        <v>970</v>
      </c>
      <c r="E146" s="38">
        <v>700</v>
      </c>
      <c r="F146" s="20" t="s">
        <v>8</v>
      </c>
      <c r="G146" s="43">
        <v>29</v>
      </c>
      <c r="H146" s="43">
        <v>33</v>
      </c>
      <c r="I146" s="43">
        <v>0</v>
      </c>
      <c r="J146" s="43">
        <v>0</v>
      </c>
      <c r="K146" s="1">
        <f t="shared" ref="K146" si="408">(IF(F146="SELL",G146-H146,IF(F146="BUY",H146-G146)))*E146</f>
        <v>2800</v>
      </c>
      <c r="L146" s="43">
        <v>0</v>
      </c>
      <c r="M146" s="43">
        <v>0</v>
      </c>
      <c r="N146" s="1">
        <f t="shared" ref="N146" si="409">(L146+K146+M146)/E146</f>
        <v>4</v>
      </c>
      <c r="O146" s="1">
        <f t="shared" ref="O146" si="410">N146*E146</f>
        <v>2800</v>
      </c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</row>
    <row r="147" spans="1:33" s="32" customFormat="1" ht="15" customHeight="1">
      <c r="A147" s="37">
        <v>44301</v>
      </c>
      <c r="B147" s="57" t="s">
        <v>109</v>
      </c>
      <c r="C147" s="20" t="s">
        <v>47</v>
      </c>
      <c r="D147" s="20">
        <v>425</v>
      </c>
      <c r="E147" s="38">
        <v>3200</v>
      </c>
      <c r="F147" s="20" t="s">
        <v>8</v>
      </c>
      <c r="G147" s="43">
        <v>15.5</v>
      </c>
      <c r="H147" s="43">
        <v>17</v>
      </c>
      <c r="I147" s="43">
        <v>0</v>
      </c>
      <c r="J147" s="43">
        <v>0</v>
      </c>
      <c r="K147" s="1">
        <f t="shared" ref="K147" si="411">(IF(F147="SELL",G147-H147,IF(F147="BUY",H147-G147)))*E147</f>
        <v>4800</v>
      </c>
      <c r="L147" s="43">
        <v>0</v>
      </c>
      <c r="M147" s="43">
        <v>0</v>
      </c>
      <c r="N147" s="1">
        <f t="shared" ref="N147" si="412">(L147+K147+M147)/E147</f>
        <v>1.5</v>
      </c>
      <c r="O147" s="1">
        <f t="shared" ref="O147" si="413">N147*E147</f>
        <v>4800</v>
      </c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</row>
    <row r="148" spans="1:33" s="32" customFormat="1" ht="15" customHeight="1">
      <c r="A148" s="37">
        <v>44299</v>
      </c>
      <c r="B148" s="57" t="s">
        <v>270</v>
      </c>
      <c r="C148" s="20" t="s">
        <v>47</v>
      </c>
      <c r="D148" s="20">
        <v>410</v>
      </c>
      <c r="E148" s="38">
        <v>5000</v>
      </c>
      <c r="F148" s="20" t="s">
        <v>8</v>
      </c>
      <c r="G148" s="43">
        <v>14.3</v>
      </c>
      <c r="H148" s="43">
        <v>15</v>
      </c>
      <c r="I148" s="43">
        <v>0</v>
      </c>
      <c r="J148" s="43">
        <v>0</v>
      </c>
      <c r="K148" s="1">
        <f t="shared" ref="K148" si="414">(IF(F148="SELL",G148-H148,IF(F148="BUY",H148-G148)))*E148</f>
        <v>3499.9999999999964</v>
      </c>
      <c r="L148" s="43">
        <v>0</v>
      </c>
      <c r="M148" s="43">
        <v>0</v>
      </c>
      <c r="N148" s="1">
        <f t="shared" ref="N148" si="415">(L148+K148+M148)/E148</f>
        <v>0.69999999999999929</v>
      </c>
      <c r="O148" s="1">
        <f t="shared" ref="O148" si="416">N148*E148</f>
        <v>3499.9999999999964</v>
      </c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</row>
    <row r="149" spans="1:33" s="32" customFormat="1" ht="15" customHeight="1">
      <c r="A149" s="37">
        <v>44299</v>
      </c>
      <c r="B149" s="57" t="s">
        <v>69</v>
      </c>
      <c r="C149" s="20" t="s">
        <v>47</v>
      </c>
      <c r="D149" s="20">
        <v>210</v>
      </c>
      <c r="E149" s="38">
        <v>7000</v>
      </c>
      <c r="F149" s="20" t="s">
        <v>8</v>
      </c>
      <c r="G149" s="43">
        <v>9</v>
      </c>
      <c r="H149" s="43">
        <v>9.5</v>
      </c>
      <c r="I149" s="43">
        <v>0</v>
      </c>
      <c r="J149" s="43">
        <v>0</v>
      </c>
      <c r="K149" s="1">
        <f t="shared" ref="K149" si="417">(IF(F149="SELL",G149-H149,IF(F149="BUY",H149-G149)))*E149</f>
        <v>3500</v>
      </c>
      <c r="L149" s="43">
        <v>0</v>
      </c>
      <c r="M149" s="43">
        <v>0</v>
      </c>
      <c r="N149" s="1">
        <f t="shared" ref="N149" si="418">(L149+K149+M149)/E149</f>
        <v>0.5</v>
      </c>
      <c r="O149" s="1">
        <f t="shared" ref="O149" si="419">N149*E149</f>
        <v>3500</v>
      </c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</row>
    <row r="150" spans="1:33" s="32" customFormat="1" ht="15" customHeight="1">
      <c r="A150" s="37">
        <v>44299</v>
      </c>
      <c r="B150" s="57" t="s">
        <v>116</v>
      </c>
      <c r="C150" s="20" t="s">
        <v>46</v>
      </c>
      <c r="D150" s="20">
        <v>900</v>
      </c>
      <c r="E150" s="38">
        <v>2000</v>
      </c>
      <c r="F150" s="20" t="s">
        <v>8</v>
      </c>
      <c r="G150" s="43">
        <v>14</v>
      </c>
      <c r="H150" s="43">
        <v>12.5</v>
      </c>
      <c r="I150" s="43">
        <v>0</v>
      </c>
      <c r="J150" s="43">
        <v>0</v>
      </c>
      <c r="K150" s="1">
        <f t="shared" ref="K150" si="420">(IF(F150="SELL",G150-H150,IF(F150="BUY",H150-G150)))*E150</f>
        <v>-3000</v>
      </c>
      <c r="L150" s="43">
        <v>0</v>
      </c>
      <c r="M150" s="43">
        <v>0</v>
      </c>
      <c r="N150" s="1">
        <f t="shared" ref="N150" si="421">(L150+K150+M150)/E150</f>
        <v>-1.5</v>
      </c>
      <c r="O150" s="1">
        <f t="shared" ref="O150" si="422">N150*E150</f>
        <v>-3000</v>
      </c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</row>
    <row r="151" spans="1:33" s="32" customFormat="1" ht="15" customHeight="1">
      <c r="A151" s="37">
        <v>44298</v>
      </c>
      <c r="B151" s="57" t="s">
        <v>367</v>
      </c>
      <c r="C151" s="20" t="s">
        <v>46</v>
      </c>
      <c r="D151" s="20">
        <v>207.5</v>
      </c>
      <c r="E151" s="38">
        <v>5000</v>
      </c>
      <c r="F151" s="20" t="s">
        <v>8</v>
      </c>
      <c r="G151" s="43">
        <v>8.6</v>
      </c>
      <c r="H151" s="43">
        <v>9.1999999999999993</v>
      </c>
      <c r="I151" s="43">
        <v>0</v>
      </c>
      <c r="J151" s="43">
        <v>0</v>
      </c>
      <c r="K151" s="1">
        <f t="shared" ref="K151" si="423">(IF(F151="SELL",G151-H151,IF(F151="BUY",H151-G151)))*E151</f>
        <v>2999.9999999999982</v>
      </c>
      <c r="L151" s="43">
        <v>0</v>
      </c>
      <c r="M151" s="43">
        <v>0</v>
      </c>
      <c r="N151" s="1">
        <f t="shared" ref="N151" si="424">(L151+K151+M151)/E151</f>
        <v>0.59999999999999964</v>
      </c>
      <c r="O151" s="1">
        <f t="shared" ref="O151" si="425">N151*E151</f>
        <v>2999.9999999999982</v>
      </c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</row>
    <row r="152" spans="1:33" s="32" customFormat="1" ht="15" customHeight="1">
      <c r="A152" s="37">
        <v>44298</v>
      </c>
      <c r="B152" s="57" t="s">
        <v>24</v>
      </c>
      <c r="C152" s="20" t="s">
        <v>46</v>
      </c>
      <c r="D152" s="20">
        <v>325</v>
      </c>
      <c r="E152" s="38">
        <v>5700</v>
      </c>
      <c r="F152" s="20" t="s">
        <v>8</v>
      </c>
      <c r="G152" s="43">
        <v>9.35</v>
      </c>
      <c r="H152" s="43">
        <v>10.199999999999999</v>
      </c>
      <c r="I152" s="43">
        <v>11.5</v>
      </c>
      <c r="J152" s="43">
        <v>14</v>
      </c>
      <c r="K152" s="1">
        <f t="shared" ref="K152" si="426">(IF(F152="SELL",G152-H152,IF(F152="BUY",H152-G152)))*E152</f>
        <v>4844.9999999999982</v>
      </c>
      <c r="L152" s="43">
        <f>E152*1.3</f>
        <v>7410</v>
      </c>
      <c r="M152" s="43">
        <f>E152*2</f>
        <v>11400</v>
      </c>
      <c r="N152" s="1">
        <f t="shared" ref="N152" si="427">(L152+K152+M152)/E152</f>
        <v>4.1500000000000004</v>
      </c>
      <c r="O152" s="1">
        <f t="shared" ref="O152" si="428">N152*E152</f>
        <v>23655.000000000004</v>
      </c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</row>
    <row r="153" spans="1:33" s="32" customFormat="1" ht="15" customHeight="1">
      <c r="A153" s="37">
        <v>44298</v>
      </c>
      <c r="B153" s="57" t="s">
        <v>429</v>
      </c>
      <c r="C153" s="20" t="s">
        <v>46</v>
      </c>
      <c r="D153" s="20">
        <v>1260</v>
      </c>
      <c r="E153" s="38">
        <v>500</v>
      </c>
      <c r="F153" s="20" t="s">
        <v>8</v>
      </c>
      <c r="G153" s="43">
        <v>36.85</v>
      </c>
      <c r="H153" s="43">
        <v>45</v>
      </c>
      <c r="I153" s="43">
        <v>0</v>
      </c>
      <c r="J153" s="43">
        <v>0</v>
      </c>
      <c r="K153" s="1">
        <f t="shared" ref="K153" si="429">(IF(F153="SELL",G153-H153,IF(F153="BUY",H153-G153)))*E153</f>
        <v>4074.9999999999991</v>
      </c>
      <c r="L153" s="43">
        <v>0</v>
      </c>
      <c r="M153" s="43">
        <v>0</v>
      </c>
      <c r="N153" s="1">
        <f t="shared" ref="N153" si="430">(L153+K153+M153)/E153</f>
        <v>8.1499999999999986</v>
      </c>
      <c r="O153" s="1">
        <f t="shared" ref="O153" si="431">N153*E153</f>
        <v>4074.9999999999991</v>
      </c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</row>
    <row r="154" spans="1:33" s="32" customFormat="1" ht="15" customHeight="1">
      <c r="A154" s="37">
        <v>44295</v>
      </c>
      <c r="B154" s="57" t="s">
        <v>24</v>
      </c>
      <c r="C154" s="20" t="s">
        <v>46</v>
      </c>
      <c r="D154" s="20">
        <v>325</v>
      </c>
      <c r="E154" s="38">
        <v>5700</v>
      </c>
      <c r="F154" s="20" t="s">
        <v>8</v>
      </c>
      <c r="G154" s="43">
        <v>12</v>
      </c>
      <c r="H154" s="43">
        <v>12.7</v>
      </c>
      <c r="I154" s="43">
        <v>14</v>
      </c>
      <c r="J154" s="43">
        <v>16</v>
      </c>
      <c r="K154" s="1">
        <f t="shared" ref="K154" si="432">(IF(F154="SELL",G154-H154,IF(F154="BUY",H154-G154)))*E154</f>
        <v>3989.9999999999959</v>
      </c>
      <c r="L154" s="43">
        <f>E154*1.3</f>
        <v>7410</v>
      </c>
      <c r="M154" s="43">
        <f>E154*2</f>
        <v>11400</v>
      </c>
      <c r="N154" s="1">
        <f t="shared" ref="N154" si="433">(L154+K154+M154)/E154</f>
        <v>3.9999999999999996</v>
      </c>
      <c r="O154" s="1">
        <f t="shared" ref="O154" si="434">N154*E154</f>
        <v>22799.999999999996</v>
      </c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</row>
    <row r="155" spans="1:33" s="32" customFormat="1" ht="15" customHeight="1">
      <c r="A155" s="37">
        <v>44295</v>
      </c>
      <c r="B155" s="57" t="s">
        <v>17</v>
      </c>
      <c r="C155" s="20" t="s">
        <v>47</v>
      </c>
      <c r="D155" s="20">
        <v>700</v>
      </c>
      <c r="E155" s="38">
        <v>1200</v>
      </c>
      <c r="F155" s="20" t="s">
        <v>8</v>
      </c>
      <c r="G155" s="43">
        <v>17.5</v>
      </c>
      <c r="H155" s="43">
        <v>20</v>
      </c>
      <c r="I155" s="43">
        <v>0</v>
      </c>
      <c r="J155" s="43">
        <v>0</v>
      </c>
      <c r="K155" s="1">
        <f t="shared" ref="K155" si="435">(IF(F155="SELL",G155-H155,IF(F155="BUY",H155-G155)))*E155</f>
        <v>3000</v>
      </c>
      <c r="L155" s="43">
        <v>0</v>
      </c>
      <c r="M155" s="43">
        <v>0</v>
      </c>
      <c r="N155" s="1">
        <f t="shared" ref="N155" si="436">(L155+K155+M155)/E155</f>
        <v>2.5</v>
      </c>
      <c r="O155" s="1">
        <f t="shared" ref="O155" si="437">N155*E155</f>
        <v>3000</v>
      </c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</row>
    <row r="156" spans="1:33" s="32" customFormat="1" ht="15" customHeight="1">
      <c r="A156" s="37">
        <v>44295</v>
      </c>
      <c r="B156" s="57" t="s">
        <v>369</v>
      </c>
      <c r="C156" s="20" t="s">
        <v>47</v>
      </c>
      <c r="D156" s="20">
        <v>155</v>
      </c>
      <c r="E156" s="38">
        <v>5400</v>
      </c>
      <c r="F156" s="20" t="s">
        <v>8</v>
      </c>
      <c r="G156" s="43">
        <v>6.5</v>
      </c>
      <c r="H156" s="43">
        <v>6.9</v>
      </c>
      <c r="I156" s="43">
        <v>0</v>
      </c>
      <c r="J156" s="43">
        <v>0</v>
      </c>
      <c r="K156" s="1">
        <f t="shared" ref="K156" si="438">(IF(F156="SELL",G156-H156,IF(F156="BUY",H156-G156)))*E156</f>
        <v>2160.0000000000018</v>
      </c>
      <c r="L156" s="43">
        <v>0</v>
      </c>
      <c r="M156" s="43">
        <v>0</v>
      </c>
      <c r="N156" s="1">
        <f t="shared" ref="N156" si="439">(L156+K156+M156)/E156</f>
        <v>0.40000000000000036</v>
      </c>
      <c r="O156" s="1">
        <f t="shared" ref="O156" si="440">N156*E156</f>
        <v>2160.0000000000018</v>
      </c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</row>
    <row r="157" spans="1:33" s="32" customFormat="1" ht="15" customHeight="1">
      <c r="A157" s="37">
        <v>44294</v>
      </c>
      <c r="B157" s="57" t="s">
        <v>71</v>
      </c>
      <c r="C157" s="20" t="s">
        <v>47</v>
      </c>
      <c r="D157" s="20">
        <v>615</v>
      </c>
      <c r="E157" s="38">
        <v>2700</v>
      </c>
      <c r="F157" s="20" t="s">
        <v>8</v>
      </c>
      <c r="G157" s="43">
        <v>18.7</v>
      </c>
      <c r="H157" s="43">
        <v>20</v>
      </c>
      <c r="I157" s="43">
        <v>22</v>
      </c>
      <c r="J157" s="43">
        <v>25</v>
      </c>
      <c r="K157" s="1">
        <f t="shared" ref="K157:K158" si="441">(IF(F157="SELL",G157-H157,IF(F157="BUY",H157-G157)))*E157</f>
        <v>3510.0000000000018</v>
      </c>
      <c r="L157" s="43">
        <f>E157*2</f>
        <v>5400</v>
      </c>
      <c r="M157" s="43">
        <f>E157*3</f>
        <v>8100</v>
      </c>
      <c r="N157" s="1">
        <f t="shared" ref="N157:N158" si="442">(L157+K157+M157)/E157</f>
        <v>6.3</v>
      </c>
      <c r="O157" s="1">
        <f t="shared" ref="O157:O158" si="443">N157*E157</f>
        <v>17010</v>
      </c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</row>
    <row r="158" spans="1:33" s="32" customFormat="1" ht="15" customHeight="1">
      <c r="A158" s="37">
        <v>44294</v>
      </c>
      <c r="B158" s="57" t="s">
        <v>270</v>
      </c>
      <c r="C158" s="20" t="s">
        <v>47</v>
      </c>
      <c r="D158" s="20">
        <v>430</v>
      </c>
      <c r="E158" s="38">
        <v>5000</v>
      </c>
      <c r="F158" s="20" t="s">
        <v>8</v>
      </c>
      <c r="G158" s="43">
        <v>14</v>
      </c>
      <c r="H158" s="43">
        <v>15</v>
      </c>
      <c r="I158" s="43">
        <v>16</v>
      </c>
      <c r="J158" s="43">
        <v>18</v>
      </c>
      <c r="K158" s="1">
        <f t="shared" si="441"/>
        <v>5000</v>
      </c>
      <c r="L158" s="43">
        <f>E158*1</f>
        <v>5000</v>
      </c>
      <c r="M158" s="43">
        <f>E158*2</f>
        <v>10000</v>
      </c>
      <c r="N158" s="1">
        <f t="shared" si="442"/>
        <v>4</v>
      </c>
      <c r="O158" s="1">
        <f t="shared" si="443"/>
        <v>20000</v>
      </c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</row>
    <row r="159" spans="1:33" s="32" customFormat="1" ht="15" customHeight="1">
      <c r="A159" s="37">
        <v>44294</v>
      </c>
      <c r="B159" s="57" t="s">
        <v>116</v>
      </c>
      <c r="C159" s="20" t="s">
        <v>46</v>
      </c>
      <c r="D159" s="20">
        <v>1000</v>
      </c>
      <c r="E159" s="38">
        <v>2000</v>
      </c>
      <c r="F159" s="20" t="s">
        <v>8</v>
      </c>
      <c r="G159" s="43">
        <v>16</v>
      </c>
      <c r="H159" s="43">
        <v>17</v>
      </c>
      <c r="I159" s="43">
        <v>0</v>
      </c>
      <c r="J159" s="43">
        <v>0</v>
      </c>
      <c r="K159" s="1">
        <f t="shared" ref="K159" si="444">(IF(F159="SELL",G159-H159,IF(F159="BUY",H159-G159)))*E159</f>
        <v>2000</v>
      </c>
      <c r="L159" s="43">
        <v>0</v>
      </c>
      <c r="M159" s="43">
        <v>0</v>
      </c>
      <c r="N159" s="1">
        <f t="shared" ref="N159" si="445">(L159+K159+M159)/E159</f>
        <v>1</v>
      </c>
      <c r="O159" s="1">
        <f t="shared" ref="O159" si="446">N159*E159</f>
        <v>2000</v>
      </c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</row>
    <row r="160" spans="1:33" s="32" customFormat="1" ht="15" customHeight="1">
      <c r="A160" s="37">
        <v>44294</v>
      </c>
      <c r="B160" s="57" t="s">
        <v>16</v>
      </c>
      <c r="C160" s="20" t="s">
        <v>47</v>
      </c>
      <c r="D160" s="20">
        <v>890</v>
      </c>
      <c r="E160" s="38">
        <v>2500</v>
      </c>
      <c r="F160" s="20" t="s">
        <v>8</v>
      </c>
      <c r="G160" s="43">
        <v>25</v>
      </c>
      <c r="H160" s="43">
        <v>23</v>
      </c>
      <c r="I160" s="43">
        <v>0</v>
      </c>
      <c r="J160" s="43">
        <v>0</v>
      </c>
      <c r="K160" s="1">
        <f t="shared" ref="K160" si="447">(IF(F160="SELL",G160-H160,IF(F160="BUY",H160-G160)))*E160</f>
        <v>-5000</v>
      </c>
      <c r="L160" s="43">
        <v>0</v>
      </c>
      <c r="M160" s="43">
        <v>0</v>
      </c>
      <c r="N160" s="1">
        <f t="shared" ref="N160" si="448">(L160+K160+M160)/E160</f>
        <v>-2</v>
      </c>
      <c r="O160" s="1">
        <f t="shared" ref="O160" si="449">N160*E160</f>
        <v>-5000</v>
      </c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</row>
    <row r="161" spans="1:33" s="32" customFormat="1" ht="15" customHeight="1">
      <c r="A161" s="37">
        <v>44293</v>
      </c>
      <c r="B161" s="57" t="s">
        <v>16</v>
      </c>
      <c r="C161" s="20" t="s">
        <v>46</v>
      </c>
      <c r="D161" s="20">
        <v>730</v>
      </c>
      <c r="E161" s="38">
        <v>2500</v>
      </c>
      <c r="F161" s="20" t="s">
        <v>8</v>
      </c>
      <c r="G161" s="43">
        <v>10</v>
      </c>
      <c r="H161" s="43">
        <v>11.5</v>
      </c>
      <c r="I161" s="43">
        <v>12.5</v>
      </c>
      <c r="J161" s="43">
        <v>14</v>
      </c>
      <c r="K161" s="1">
        <f t="shared" ref="K161" si="450">(IF(F161="SELL",G161-H161,IF(F161="BUY",H161-G161)))*E161</f>
        <v>3750</v>
      </c>
      <c r="L161" s="43">
        <f>E161*1</f>
        <v>2500</v>
      </c>
      <c r="M161" s="43">
        <f>E161*1.5</f>
        <v>3750</v>
      </c>
      <c r="N161" s="1">
        <f t="shared" ref="N161" si="451">(L161+K161+M161)/E161</f>
        <v>4</v>
      </c>
      <c r="O161" s="1">
        <f t="shared" ref="O161" si="452">N161*E161</f>
        <v>10000</v>
      </c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</row>
    <row r="162" spans="1:33" s="32" customFormat="1" ht="15" customHeight="1">
      <c r="A162" s="37">
        <v>44293</v>
      </c>
      <c r="B162" s="57" t="s">
        <v>16</v>
      </c>
      <c r="C162" s="20" t="s">
        <v>46</v>
      </c>
      <c r="D162" s="20">
        <v>790</v>
      </c>
      <c r="E162" s="38">
        <v>2500</v>
      </c>
      <c r="F162" s="20" t="s">
        <v>8</v>
      </c>
      <c r="G162" s="43">
        <v>24.75</v>
      </c>
      <c r="H162" s="43">
        <v>26</v>
      </c>
      <c r="I162" s="43">
        <v>0</v>
      </c>
      <c r="J162" s="43">
        <v>0</v>
      </c>
      <c r="K162" s="1">
        <f t="shared" ref="K162" si="453">(IF(F162="SELL",G162-H162,IF(F162="BUY",H162-G162)))*E162</f>
        <v>3125</v>
      </c>
      <c r="L162" s="43">
        <v>0</v>
      </c>
      <c r="M162" s="43">
        <v>0</v>
      </c>
      <c r="N162" s="1">
        <f t="shared" ref="N162" si="454">(L162+K162+M162)/E162</f>
        <v>1.25</v>
      </c>
      <c r="O162" s="1">
        <f t="shared" ref="O162" si="455">N162*E162</f>
        <v>3125</v>
      </c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</row>
    <row r="163" spans="1:33" s="32" customFormat="1" ht="15" customHeight="1">
      <c r="A163" s="37">
        <v>44293</v>
      </c>
      <c r="B163" s="57" t="s">
        <v>116</v>
      </c>
      <c r="C163" s="20" t="s">
        <v>46</v>
      </c>
      <c r="D163" s="20">
        <v>1120</v>
      </c>
      <c r="E163" s="38">
        <v>2000</v>
      </c>
      <c r="F163" s="20" t="s">
        <v>8</v>
      </c>
      <c r="G163" s="43">
        <v>31.9</v>
      </c>
      <c r="H163" s="43">
        <v>33.5</v>
      </c>
      <c r="I163" s="43">
        <v>35</v>
      </c>
      <c r="J163" s="43">
        <v>0</v>
      </c>
      <c r="K163" s="1">
        <f t="shared" ref="K163" si="456">(IF(F163="SELL",G163-H163,IF(F163="BUY",H163-G163)))*E163</f>
        <v>3200.0000000000027</v>
      </c>
      <c r="L163" s="43">
        <f>E163*1.5</f>
        <v>3000</v>
      </c>
      <c r="M163" s="43">
        <v>0</v>
      </c>
      <c r="N163" s="1">
        <f t="shared" ref="N163" si="457">(L163+K163+M163)/E163</f>
        <v>3.1000000000000014</v>
      </c>
      <c r="O163" s="1">
        <f t="shared" ref="O163" si="458">N163*E163</f>
        <v>6200.0000000000027</v>
      </c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</row>
    <row r="164" spans="1:33" s="32" customFormat="1" ht="15" customHeight="1">
      <c r="A164" s="37">
        <v>44293</v>
      </c>
      <c r="B164" s="57" t="s">
        <v>21</v>
      </c>
      <c r="C164" s="20" t="s">
        <v>47</v>
      </c>
      <c r="D164" s="20">
        <v>365</v>
      </c>
      <c r="E164" s="38">
        <v>3000</v>
      </c>
      <c r="F164" s="20" t="s">
        <v>8</v>
      </c>
      <c r="G164" s="43">
        <v>12</v>
      </c>
      <c r="H164" s="43">
        <v>11</v>
      </c>
      <c r="I164" s="43">
        <v>0</v>
      </c>
      <c r="J164" s="43">
        <v>0</v>
      </c>
      <c r="K164" s="1">
        <f t="shared" ref="K164" si="459">(IF(F164="SELL",G164-H164,IF(F164="BUY",H164-G164)))*E164</f>
        <v>-3000</v>
      </c>
      <c r="L164" s="43">
        <v>0</v>
      </c>
      <c r="M164" s="43">
        <v>0</v>
      </c>
      <c r="N164" s="1">
        <f t="shared" ref="N164" si="460">(L164+K164+M164)/E164</f>
        <v>-1</v>
      </c>
      <c r="O164" s="1">
        <f t="shared" ref="O164" si="461">N164*E164</f>
        <v>-3000</v>
      </c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</row>
    <row r="165" spans="1:33" s="32" customFormat="1" ht="15" customHeight="1">
      <c r="A165" s="37">
        <v>44293</v>
      </c>
      <c r="B165" s="57" t="s">
        <v>24</v>
      </c>
      <c r="C165" s="20" t="s">
        <v>47</v>
      </c>
      <c r="D165" s="20">
        <v>325</v>
      </c>
      <c r="E165" s="38">
        <v>5700</v>
      </c>
      <c r="F165" s="20" t="s">
        <v>8</v>
      </c>
      <c r="G165" s="43">
        <v>10</v>
      </c>
      <c r="H165" s="43">
        <v>9.1999999999999993</v>
      </c>
      <c r="I165" s="43">
        <v>0</v>
      </c>
      <c r="J165" s="43">
        <v>0</v>
      </c>
      <c r="K165" s="1">
        <f t="shared" ref="K165" si="462">(IF(F165="SELL",G165-H165,IF(F165="BUY",H165-G165)))*E165</f>
        <v>-4560.0000000000036</v>
      </c>
      <c r="L165" s="43">
        <v>0</v>
      </c>
      <c r="M165" s="43">
        <v>0</v>
      </c>
      <c r="N165" s="1">
        <f t="shared" ref="N165" si="463">(L165+K165+M165)/E165</f>
        <v>-0.8000000000000006</v>
      </c>
      <c r="O165" s="1">
        <f t="shared" ref="O165" si="464">N165*E165</f>
        <v>-4560.0000000000036</v>
      </c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</row>
    <row r="166" spans="1:33" s="32" customFormat="1" ht="15" customHeight="1">
      <c r="A166" s="37">
        <v>44292</v>
      </c>
      <c r="B166" s="57" t="s">
        <v>270</v>
      </c>
      <c r="C166" s="20" t="s">
        <v>46</v>
      </c>
      <c r="D166" s="20">
        <v>360</v>
      </c>
      <c r="E166" s="38">
        <v>5000</v>
      </c>
      <c r="F166" s="20" t="s">
        <v>8</v>
      </c>
      <c r="G166" s="43">
        <v>9.1</v>
      </c>
      <c r="H166" s="43">
        <v>10</v>
      </c>
      <c r="I166" s="43">
        <v>0</v>
      </c>
      <c r="J166" s="43">
        <v>0</v>
      </c>
      <c r="K166" s="1">
        <f t="shared" ref="K166" si="465">(IF(F166="SELL",G166-H166,IF(F166="BUY",H166-G166)))*E166</f>
        <v>4500.0000000000018</v>
      </c>
      <c r="L166" s="43">
        <v>0</v>
      </c>
      <c r="M166" s="43">
        <v>0</v>
      </c>
      <c r="N166" s="1">
        <f t="shared" ref="N166" si="466">(L166+K166+M166)/E166</f>
        <v>0.90000000000000036</v>
      </c>
      <c r="O166" s="1">
        <f t="shared" ref="O166" si="467">N166*E166</f>
        <v>4500.0000000000018</v>
      </c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</row>
    <row r="167" spans="1:33" s="32" customFormat="1" ht="15" customHeight="1">
      <c r="A167" s="37">
        <v>44292</v>
      </c>
      <c r="B167" s="57" t="s">
        <v>24</v>
      </c>
      <c r="C167" s="20" t="s">
        <v>47</v>
      </c>
      <c r="D167" s="20">
        <v>330</v>
      </c>
      <c r="E167" s="38">
        <v>5700</v>
      </c>
      <c r="F167" s="20" t="s">
        <v>8</v>
      </c>
      <c r="G167" s="43">
        <v>9.1999999999999993</v>
      </c>
      <c r="H167" s="43">
        <v>10</v>
      </c>
      <c r="I167" s="43">
        <v>0</v>
      </c>
      <c r="J167" s="43">
        <v>0</v>
      </c>
      <c r="K167" s="1">
        <f t="shared" ref="K167" si="468">(IF(F167="SELL",G167-H167,IF(F167="BUY",H167-G167)))*E167</f>
        <v>4560.0000000000036</v>
      </c>
      <c r="L167" s="43">
        <v>0</v>
      </c>
      <c r="M167" s="43">
        <v>0</v>
      </c>
      <c r="N167" s="1">
        <f t="shared" ref="N167" si="469">(L167+K167+M167)/E167</f>
        <v>0.8000000000000006</v>
      </c>
      <c r="O167" s="1">
        <f t="shared" ref="O167" si="470">N167*E167</f>
        <v>4560.0000000000036</v>
      </c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</row>
    <row r="168" spans="1:33" s="32" customFormat="1" ht="15" customHeight="1">
      <c r="A168" s="37">
        <v>44291</v>
      </c>
      <c r="B168" s="57" t="s">
        <v>270</v>
      </c>
      <c r="C168" s="20" t="s">
        <v>47</v>
      </c>
      <c r="D168" s="20">
        <v>395</v>
      </c>
      <c r="E168" s="38">
        <v>5000</v>
      </c>
      <c r="F168" s="20" t="s">
        <v>8</v>
      </c>
      <c r="G168" s="43">
        <v>11.8</v>
      </c>
      <c r="H168" s="43">
        <v>12.7</v>
      </c>
      <c r="I168" s="43">
        <v>14</v>
      </c>
      <c r="J168" s="43">
        <v>0</v>
      </c>
      <c r="K168" s="1">
        <f t="shared" ref="K168" si="471">(IF(F168="SELL",G168-H168,IF(F168="BUY",H168-G168)))*E168</f>
        <v>4499.9999999999927</v>
      </c>
      <c r="L168" s="43">
        <f>E168*1.3</f>
        <v>6500</v>
      </c>
      <c r="M168" s="43">
        <v>0</v>
      </c>
      <c r="N168" s="1">
        <f t="shared" ref="N168" si="472">(L168+K168+M168)/E168</f>
        <v>2.1999999999999984</v>
      </c>
      <c r="O168" s="1">
        <f t="shared" ref="O168" si="473">N168*E168</f>
        <v>10999.999999999993</v>
      </c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</row>
    <row r="169" spans="1:33" s="32" customFormat="1" ht="15" customHeight="1">
      <c r="A169" s="37">
        <v>44291</v>
      </c>
      <c r="B169" s="57" t="s">
        <v>116</v>
      </c>
      <c r="C169" s="20" t="s">
        <v>47</v>
      </c>
      <c r="D169" s="20">
        <v>1280</v>
      </c>
      <c r="E169" s="38">
        <v>2000</v>
      </c>
      <c r="F169" s="20" t="s">
        <v>8</v>
      </c>
      <c r="G169" s="43">
        <v>22</v>
      </c>
      <c r="H169" s="43">
        <v>23.5</v>
      </c>
      <c r="I169" s="43">
        <v>0</v>
      </c>
      <c r="J169" s="43">
        <v>0</v>
      </c>
      <c r="K169" s="1">
        <f t="shared" ref="K169" si="474">(IF(F169="SELL",G169-H169,IF(F169="BUY",H169-G169)))*E169</f>
        <v>3000</v>
      </c>
      <c r="L169" s="43">
        <v>0</v>
      </c>
      <c r="M169" s="43">
        <v>0</v>
      </c>
      <c r="N169" s="1">
        <f t="shared" ref="N169" si="475">(L169+K169+M169)/E169</f>
        <v>1.5</v>
      </c>
      <c r="O169" s="1">
        <f t="shared" ref="O169" si="476">N169*E169</f>
        <v>3000</v>
      </c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</row>
    <row r="170" spans="1:33" s="32" customFormat="1" ht="15" customHeight="1">
      <c r="A170" s="37">
        <v>44287</v>
      </c>
      <c r="B170" s="57" t="s">
        <v>270</v>
      </c>
      <c r="C170" s="20" t="s">
        <v>47</v>
      </c>
      <c r="D170" s="20">
        <v>380</v>
      </c>
      <c r="E170" s="38">
        <v>5000</v>
      </c>
      <c r="F170" s="20" t="s">
        <v>8</v>
      </c>
      <c r="G170" s="43">
        <v>12</v>
      </c>
      <c r="H170" s="43">
        <v>12.7</v>
      </c>
      <c r="I170" s="43">
        <v>14</v>
      </c>
      <c r="J170" s="43">
        <v>0</v>
      </c>
      <c r="K170" s="1">
        <f t="shared" ref="K170" si="477">(IF(F170="SELL",G170-H170,IF(F170="BUY",H170-G170)))*E170</f>
        <v>3499.9999999999964</v>
      </c>
      <c r="L170" s="43">
        <f>E170*1.3</f>
        <v>6500</v>
      </c>
      <c r="M170" s="43">
        <v>0</v>
      </c>
      <c r="N170" s="1">
        <f t="shared" ref="N170" si="478">(L170+K170+M170)/E170</f>
        <v>1.9999999999999993</v>
      </c>
      <c r="O170" s="1">
        <f t="shared" ref="O170" si="479">N170*E170</f>
        <v>9999.9999999999964</v>
      </c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</row>
    <row r="171" spans="1:33" s="32" customFormat="1" ht="15" customHeight="1">
      <c r="A171" s="37">
        <v>44287</v>
      </c>
      <c r="B171" s="57" t="s">
        <v>116</v>
      </c>
      <c r="C171" s="20" t="s">
        <v>47</v>
      </c>
      <c r="D171" s="20">
        <v>1200</v>
      </c>
      <c r="E171" s="38">
        <v>2000</v>
      </c>
      <c r="F171" s="20" t="s">
        <v>8</v>
      </c>
      <c r="G171" s="43">
        <v>20.5</v>
      </c>
      <c r="H171" s="43">
        <v>20.5</v>
      </c>
      <c r="I171" s="43">
        <v>0</v>
      </c>
      <c r="J171" s="43">
        <v>0</v>
      </c>
      <c r="K171" s="1">
        <f t="shared" ref="K171" si="480">(IF(F171="SELL",G171-H171,IF(F171="BUY",H171-G171)))*E171</f>
        <v>0</v>
      </c>
      <c r="L171" s="43">
        <v>0</v>
      </c>
      <c r="M171" s="43">
        <v>0</v>
      </c>
      <c r="N171" s="1">
        <f t="shared" ref="N171" si="481">(L171+K171+M171)/E171</f>
        <v>0</v>
      </c>
      <c r="O171" s="1">
        <f t="shared" ref="O171" si="482">N171*E171</f>
        <v>0</v>
      </c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</row>
    <row r="172" spans="1:33" s="32" customFormat="1" ht="15" customHeight="1">
      <c r="A172" s="37">
        <v>44287</v>
      </c>
      <c r="B172" s="57" t="s">
        <v>34</v>
      </c>
      <c r="C172" s="20" t="s">
        <v>47</v>
      </c>
      <c r="D172" s="20">
        <v>345</v>
      </c>
      <c r="E172" s="38">
        <v>4300</v>
      </c>
      <c r="F172" s="20" t="s">
        <v>8</v>
      </c>
      <c r="G172" s="43">
        <v>12</v>
      </c>
      <c r="H172" s="43">
        <v>13</v>
      </c>
      <c r="I172" s="43">
        <v>15</v>
      </c>
      <c r="J172" s="43">
        <v>0</v>
      </c>
      <c r="K172" s="1">
        <f t="shared" ref="K172" si="483">(IF(F172="SELL",G172-H172,IF(F172="BUY",H172-G172)))*E172</f>
        <v>4300</v>
      </c>
      <c r="L172" s="43">
        <f>E172*2</f>
        <v>8600</v>
      </c>
      <c r="M172" s="43">
        <v>0</v>
      </c>
      <c r="N172" s="1">
        <f t="shared" ref="N172" si="484">(L172+K172+M172)/E172</f>
        <v>3</v>
      </c>
      <c r="O172" s="1">
        <f t="shared" ref="O172" si="485">N172*E172</f>
        <v>12900</v>
      </c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</row>
    <row r="173" spans="1:33" s="32" customFormat="1" ht="15" customHeight="1">
      <c r="A173" s="37">
        <v>44286</v>
      </c>
      <c r="B173" s="57" t="s">
        <v>116</v>
      </c>
      <c r="C173" s="20" t="s">
        <v>47</v>
      </c>
      <c r="D173" s="20">
        <v>1160</v>
      </c>
      <c r="E173" s="38">
        <v>2000</v>
      </c>
      <c r="F173" s="20" t="s">
        <v>8</v>
      </c>
      <c r="G173" s="43">
        <v>31</v>
      </c>
      <c r="H173" s="43">
        <v>29.5</v>
      </c>
      <c r="I173" s="43">
        <v>0</v>
      </c>
      <c r="J173" s="43">
        <v>0</v>
      </c>
      <c r="K173" s="1">
        <f t="shared" ref="K173" si="486">(IF(F173="SELL",G173-H173,IF(F173="BUY",H173-G173)))*E173</f>
        <v>-3000</v>
      </c>
      <c r="L173" s="43">
        <v>0</v>
      </c>
      <c r="M173" s="43">
        <v>0</v>
      </c>
      <c r="N173" s="1">
        <f t="shared" ref="N173" si="487">(L173+K173+M173)/E173</f>
        <v>-1.5</v>
      </c>
      <c r="O173" s="1">
        <f t="shared" ref="O173" si="488">N173*E173</f>
        <v>-3000</v>
      </c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</row>
    <row r="174" spans="1:33" s="32" customFormat="1" ht="15" customHeight="1">
      <c r="A174" s="37">
        <v>44286</v>
      </c>
      <c r="B174" s="57" t="s">
        <v>200</v>
      </c>
      <c r="C174" s="20" t="s">
        <v>47</v>
      </c>
      <c r="D174" s="20">
        <v>790</v>
      </c>
      <c r="E174" s="38">
        <v>2000</v>
      </c>
      <c r="F174" s="20" t="s">
        <v>8</v>
      </c>
      <c r="G174" s="43">
        <v>26.5</v>
      </c>
      <c r="H174" s="43">
        <v>24.5</v>
      </c>
      <c r="I174" s="43">
        <v>0</v>
      </c>
      <c r="J174" s="43">
        <v>0</v>
      </c>
      <c r="K174" s="1">
        <f t="shared" ref="K174" si="489">(IF(F174="SELL",G174-H174,IF(F174="BUY",H174-G174)))*E174</f>
        <v>-4000</v>
      </c>
      <c r="L174" s="43">
        <v>0</v>
      </c>
      <c r="M174" s="43">
        <v>0</v>
      </c>
      <c r="N174" s="1">
        <f t="shared" ref="N174" si="490">(L174+K174+M174)/E174</f>
        <v>-2</v>
      </c>
      <c r="O174" s="1">
        <f t="shared" ref="O174" si="491">N174*E174</f>
        <v>-4000</v>
      </c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</row>
    <row r="175" spans="1:33" s="32" customFormat="1" ht="15" customHeight="1">
      <c r="A175" s="37">
        <v>44286</v>
      </c>
      <c r="B175" s="57" t="s">
        <v>69</v>
      </c>
      <c r="C175" s="20" t="s">
        <v>47</v>
      </c>
      <c r="D175" s="20">
        <v>210</v>
      </c>
      <c r="E175" s="38">
        <v>7000</v>
      </c>
      <c r="F175" s="20" t="s">
        <v>8</v>
      </c>
      <c r="G175" s="43">
        <v>8.4499999999999993</v>
      </c>
      <c r="H175" s="43">
        <v>8.8000000000000007</v>
      </c>
      <c r="I175" s="43">
        <v>0</v>
      </c>
      <c r="J175" s="43">
        <v>0</v>
      </c>
      <c r="K175" s="1">
        <f t="shared" ref="K175" si="492">(IF(F175="SELL",G175-H175,IF(F175="BUY",H175-G175)))*E175</f>
        <v>2450.00000000001</v>
      </c>
      <c r="L175" s="43">
        <v>0</v>
      </c>
      <c r="M175" s="43">
        <v>0</v>
      </c>
      <c r="N175" s="1">
        <f t="shared" ref="N175" si="493">(L175+K175+M175)/E175</f>
        <v>0.35000000000000142</v>
      </c>
      <c r="O175" s="1">
        <f t="shared" ref="O175" si="494">N175*E175</f>
        <v>2450.00000000001</v>
      </c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</row>
    <row r="176" spans="1:33" s="32" customFormat="1" ht="15" customHeight="1">
      <c r="A176" s="37">
        <v>44285</v>
      </c>
      <c r="B176" s="57" t="s">
        <v>116</v>
      </c>
      <c r="C176" s="20" t="s">
        <v>47</v>
      </c>
      <c r="D176" s="20">
        <v>1200</v>
      </c>
      <c r="E176" s="38">
        <v>2000</v>
      </c>
      <c r="F176" s="20" t="s">
        <v>8</v>
      </c>
      <c r="G176" s="43">
        <v>20</v>
      </c>
      <c r="H176" s="43">
        <v>21.65</v>
      </c>
      <c r="I176" s="43">
        <v>0</v>
      </c>
      <c r="J176" s="43">
        <v>0</v>
      </c>
      <c r="K176" s="1">
        <f t="shared" ref="K176" si="495">(IF(F176="SELL",G176-H176,IF(F176="BUY",H176-G176)))*E176</f>
        <v>3299.9999999999973</v>
      </c>
      <c r="L176" s="43">
        <v>0</v>
      </c>
      <c r="M176" s="43">
        <v>0</v>
      </c>
      <c r="N176" s="1">
        <f t="shared" ref="N176" si="496">(L176+K176+M176)/E176</f>
        <v>1.6499999999999986</v>
      </c>
      <c r="O176" s="1">
        <f t="shared" ref="O176" si="497">N176*E176</f>
        <v>3299.9999999999973</v>
      </c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</row>
    <row r="177" spans="1:33" s="32" customFormat="1" ht="15" customHeight="1">
      <c r="A177" s="37">
        <v>44285</v>
      </c>
      <c r="B177" s="57" t="s">
        <v>71</v>
      </c>
      <c r="C177" s="20" t="s">
        <v>47</v>
      </c>
      <c r="D177" s="20">
        <v>470</v>
      </c>
      <c r="E177" s="38">
        <v>2700</v>
      </c>
      <c r="F177" s="20" t="s">
        <v>8</v>
      </c>
      <c r="G177" s="43">
        <v>22</v>
      </c>
      <c r="H177" s="43">
        <v>22.65</v>
      </c>
      <c r="I177" s="43">
        <v>0</v>
      </c>
      <c r="J177" s="43">
        <v>0</v>
      </c>
      <c r="K177" s="1">
        <f t="shared" ref="K177" si="498">(IF(F177="SELL",G177-H177,IF(F177="BUY",H177-G177)))*E177</f>
        <v>1754.9999999999961</v>
      </c>
      <c r="L177" s="43">
        <v>0</v>
      </c>
      <c r="M177" s="43">
        <v>0</v>
      </c>
      <c r="N177" s="1">
        <f t="shared" ref="N177" si="499">(L177+K177+M177)/E177</f>
        <v>0.64999999999999858</v>
      </c>
      <c r="O177" s="1">
        <f t="shared" ref="O177" si="500">N177*E177</f>
        <v>1754.9999999999961</v>
      </c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</row>
    <row r="178" spans="1:33" s="32" customFormat="1" ht="15" customHeight="1">
      <c r="A178" s="37">
        <v>44285</v>
      </c>
      <c r="B178" s="57" t="s">
        <v>69</v>
      </c>
      <c r="C178" s="20" t="s">
        <v>47</v>
      </c>
      <c r="D178" s="20">
        <v>210</v>
      </c>
      <c r="E178" s="38">
        <v>7000</v>
      </c>
      <c r="F178" s="20" t="s">
        <v>8</v>
      </c>
      <c r="G178" s="43">
        <v>9.1</v>
      </c>
      <c r="H178" s="43">
        <v>10</v>
      </c>
      <c r="I178" s="43">
        <v>11</v>
      </c>
      <c r="J178" s="43">
        <v>0</v>
      </c>
      <c r="K178" s="1">
        <f t="shared" ref="K178" si="501">(IF(F178="SELL",G178-H178,IF(F178="BUY",H178-G178)))*E178</f>
        <v>6300.0000000000027</v>
      </c>
      <c r="L178" s="43">
        <f>E178*1</f>
        <v>7000</v>
      </c>
      <c r="M178" s="43">
        <v>0</v>
      </c>
      <c r="N178" s="1">
        <f t="shared" ref="N178" si="502">(L178+K178+M178)/E178</f>
        <v>1.9000000000000006</v>
      </c>
      <c r="O178" s="1">
        <f t="shared" ref="O178" si="503">N178*E178</f>
        <v>13300.000000000004</v>
      </c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</row>
    <row r="179" spans="1:33" s="32" customFormat="1" ht="15" customHeight="1">
      <c r="A179" s="37">
        <v>44281</v>
      </c>
      <c r="B179" s="57" t="s">
        <v>69</v>
      </c>
      <c r="C179" s="20" t="s">
        <v>47</v>
      </c>
      <c r="D179" s="20">
        <v>205</v>
      </c>
      <c r="E179" s="38">
        <v>7000</v>
      </c>
      <c r="F179" s="20" t="s">
        <v>8</v>
      </c>
      <c r="G179" s="43">
        <v>9.4</v>
      </c>
      <c r="H179" s="43">
        <v>10.5</v>
      </c>
      <c r="I179" s="43">
        <v>0</v>
      </c>
      <c r="J179" s="43">
        <v>0</v>
      </c>
      <c r="K179" s="1">
        <f t="shared" ref="K179" si="504">(IF(F179="SELL",G179-H179,IF(F179="BUY",H179-G179)))*E179</f>
        <v>7699.9999999999973</v>
      </c>
      <c r="L179" s="43">
        <v>0</v>
      </c>
      <c r="M179" s="43">
        <v>0</v>
      </c>
      <c r="N179" s="1">
        <f t="shared" ref="N179" si="505">(L179+K179+M179)/E179</f>
        <v>1.0999999999999996</v>
      </c>
      <c r="O179" s="1">
        <f t="shared" ref="O179" si="506">N179*E179</f>
        <v>7699.9999999999973</v>
      </c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</row>
    <row r="180" spans="1:33" s="32" customFormat="1" ht="15" customHeight="1">
      <c r="A180" s="37">
        <v>44281</v>
      </c>
      <c r="B180" s="57" t="s">
        <v>24</v>
      </c>
      <c r="C180" s="20" t="s">
        <v>47</v>
      </c>
      <c r="D180" s="20">
        <v>300</v>
      </c>
      <c r="E180" s="38">
        <v>5700</v>
      </c>
      <c r="F180" s="20" t="s">
        <v>8</v>
      </c>
      <c r="G180" s="43">
        <v>17</v>
      </c>
      <c r="H180" s="43">
        <v>17.7</v>
      </c>
      <c r="I180" s="43">
        <v>20</v>
      </c>
      <c r="J180" s="43">
        <v>0</v>
      </c>
      <c r="K180" s="1">
        <f t="shared" ref="K180" si="507">(IF(F180="SELL",G180-H180,IF(F180="BUY",H180-G180)))*E180</f>
        <v>3989.9999999999959</v>
      </c>
      <c r="L180" s="43">
        <f>E180*2.3</f>
        <v>13109.999999999998</v>
      </c>
      <c r="M180" s="43">
        <v>0</v>
      </c>
      <c r="N180" s="1">
        <f t="shared" ref="N180" si="508">(L180+K180+M180)/E180</f>
        <v>2.9999999999999987</v>
      </c>
      <c r="O180" s="1">
        <f t="shared" ref="O180" si="509">N180*E180</f>
        <v>17099.999999999993</v>
      </c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</row>
    <row r="181" spans="1:33" s="32" customFormat="1" ht="15" customHeight="1">
      <c r="A181" s="37">
        <v>44280</v>
      </c>
      <c r="B181" s="57" t="s">
        <v>368</v>
      </c>
      <c r="C181" s="20" t="s">
        <v>46</v>
      </c>
      <c r="D181" s="20">
        <v>200</v>
      </c>
      <c r="E181" s="38">
        <v>3000</v>
      </c>
      <c r="F181" s="20" t="s">
        <v>8</v>
      </c>
      <c r="G181" s="43">
        <v>11</v>
      </c>
      <c r="H181" s="43">
        <v>12</v>
      </c>
      <c r="I181" s="43">
        <v>0</v>
      </c>
      <c r="J181" s="43">
        <v>0</v>
      </c>
      <c r="K181" s="1">
        <f t="shared" ref="K181" si="510">(IF(F181="SELL",G181-H181,IF(F181="BUY",H181-G181)))*E181</f>
        <v>3000</v>
      </c>
      <c r="L181" s="43">
        <v>0</v>
      </c>
      <c r="M181" s="43">
        <v>0</v>
      </c>
      <c r="N181" s="1">
        <f t="shared" ref="N181" si="511">(L181+K181+M181)/E181</f>
        <v>1</v>
      </c>
      <c r="O181" s="1">
        <f t="shared" ref="O181" si="512">N181*E181</f>
        <v>3000</v>
      </c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</row>
    <row r="182" spans="1:33" s="32" customFormat="1" ht="15" customHeight="1">
      <c r="A182" s="37">
        <v>44280</v>
      </c>
      <c r="B182" s="57" t="s">
        <v>26</v>
      </c>
      <c r="C182" s="20" t="s">
        <v>47</v>
      </c>
      <c r="D182" s="20">
        <v>710</v>
      </c>
      <c r="E182" s="38">
        <v>1700</v>
      </c>
      <c r="F182" s="20" t="s">
        <v>8</v>
      </c>
      <c r="G182" s="43">
        <v>40</v>
      </c>
      <c r="H182" s="43">
        <v>38.799999999999997</v>
      </c>
      <c r="I182" s="43">
        <v>0</v>
      </c>
      <c r="J182" s="43">
        <v>0</v>
      </c>
      <c r="K182" s="1">
        <f t="shared" ref="K182" si="513">(IF(F182="SELL",G182-H182,IF(F182="BUY",H182-G182)))*E182</f>
        <v>-2040.0000000000048</v>
      </c>
      <c r="L182" s="43">
        <v>0</v>
      </c>
      <c r="M182" s="43">
        <v>0</v>
      </c>
      <c r="N182" s="1">
        <f t="shared" ref="N182" si="514">(L182+K182+M182)/E182</f>
        <v>-1.2000000000000028</v>
      </c>
      <c r="O182" s="1">
        <f t="shared" ref="O182" si="515">N182*E182</f>
        <v>-2040.0000000000048</v>
      </c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</row>
    <row r="183" spans="1:33" s="32" customFormat="1" ht="15" customHeight="1">
      <c r="A183" s="37">
        <v>44280</v>
      </c>
      <c r="B183" s="57" t="s">
        <v>103</v>
      </c>
      <c r="C183" s="20" t="s">
        <v>46</v>
      </c>
      <c r="D183" s="20">
        <v>110</v>
      </c>
      <c r="E183" s="38">
        <v>9000</v>
      </c>
      <c r="F183" s="20" t="s">
        <v>8</v>
      </c>
      <c r="G183" s="43">
        <v>7</v>
      </c>
      <c r="H183" s="43">
        <v>7</v>
      </c>
      <c r="I183" s="43">
        <v>0</v>
      </c>
      <c r="J183" s="43">
        <v>0</v>
      </c>
      <c r="K183" s="1">
        <f t="shared" ref="K183" si="516">(IF(F183="SELL",G183-H183,IF(F183="BUY",H183-G183)))*E183</f>
        <v>0</v>
      </c>
      <c r="L183" s="43">
        <v>0</v>
      </c>
      <c r="M183" s="43">
        <v>0</v>
      </c>
      <c r="N183" s="1">
        <f t="shared" ref="N183" si="517">(L183+K183+M183)/E183</f>
        <v>0</v>
      </c>
      <c r="O183" s="1">
        <f t="shared" ref="O183" si="518">N183*E183</f>
        <v>0</v>
      </c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</row>
    <row r="184" spans="1:33" s="32" customFormat="1" ht="15" customHeight="1">
      <c r="A184" s="37">
        <v>44280</v>
      </c>
      <c r="B184" s="57" t="s">
        <v>367</v>
      </c>
      <c r="C184" s="20" t="s">
        <v>46</v>
      </c>
      <c r="D184" s="20">
        <v>215</v>
      </c>
      <c r="E184" s="38">
        <v>5000</v>
      </c>
      <c r="F184" s="20" t="s">
        <v>8</v>
      </c>
      <c r="G184" s="43">
        <v>10</v>
      </c>
      <c r="H184" s="43">
        <v>10.95</v>
      </c>
      <c r="I184" s="43">
        <v>0</v>
      </c>
      <c r="J184" s="43">
        <v>0</v>
      </c>
      <c r="K184" s="1">
        <f t="shared" ref="K184" si="519">(IF(F184="SELL",G184-H184,IF(F184="BUY",H184-G184)))*E184</f>
        <v>4749.9999999999964</v>
      </c>
      <c r="L184" s="43">
        <v>0</v>
      </c>
      <c r="M184" s="43">
        <v>0</v>
      </c>
      <c r="N184" s="1">
        <f t="shared" ref="N184" si="520">(L184+K184+M184)/E184</f>
        <v>0.94999999999999929</v>
      </c>
      <c r="O184" s="1">
        <f t="shared" ref="O184" si="521">N184*E184</f>
        <v>4749.9999999999964</v>
      </c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</row>
    <row r="185" spans="1:33" s="32" customFormat="1" ht="15" customHeight="1">
      <c r="A185" s="37">
        <v>44280</v>
      </c>
      <c r="B185" s="57" t="s">
        <v>69</v>
      </c>
      <c r="C185" s="20" t="s">
        <v>46</v>
      </c>
      <c r="D185" s="20">
        <v>190</v>
      </c>
      <c r="E185" s="38">
        <v>7000</v>
      </c>
      <c r="F185" s="20" t="s">
        <v>8</v>
      </c>
      <c r="G185" s="43">
        <v>11.05</v>
      </c>
      <c r="H185" s="43">
        <v>11.5</v>
      </c>
      <c r="I185" s="43">
        <v>12.5</v>
      </c>
      <c r="J185" s="43">
        <v>0</v>
      </c>
      <c r="K185" s="1">
        <f t="shared" ref="K185" si="522">(IF(F185="SELL",G185-H185,IF(F185="BUY",H185-G185)))*E185</f>
        <v>3149.999999999995</v>
      </c>
      <c r="L185" s="43">
        <f>E185*1</f>
        <v>7000</v>
      </c>
      <c r="M185" s="43">
        <v>0</v>
      </c>
      <c r="N185" s="1">
        <f t="shared" ref="N185" si="523">(L185+K185+M185)/E185</f>
        <v>1.4499999999999993</v>
      </c>
      <c r="O185" s="1">
        <f t="shared" ref="O185" si="524">N185*E185</f>
        <v>10149.999999999995</v>
      </c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</row>
    <row r="186" spans="1:33" s="32" customFormat="1" ht="15" customHeight="1">
      <c r="A186" s="37">
        <v>44279</v>
      </c>
      <c r="B186" s="57" t="s">
        <v>69</v>
      </c>
      <c r="C186" s="20" t="s">
        <v>46</v>
      </c>
      <c r="D186" s="20">
        <v>210</v>
      </c>
      <c r="E186" s="38">
        <v>7000</v>
      </c>
      <c r="F186" s="20" t="s">
        <v>8</v>
      </c>
      <c r="G186" s="43">
        <v>6.5</v>
      </c>
      <c r="H186" s="43">
        <v>7.5</v>
      </c>
      <c r="I186" s="43">
        <v>0</v>
      </c>
      <c r="J186" s="43">
        <v>0</v>
      </c>
      <c r="K186" s="1">
        <f t="shared" ref="K186" si="525">(IF(F186="SELL",G186-H186,IF(F186="BUY",H186-G186)))*E186</f>
        <v>7000</v>
      </c>
      <c r="L186" s="43">
        <v>0</v>
      </c>
      <c r="M186" s="43">
        <v>0</v>
      </c>
      <c r="N186" s="1">
        <f t="shared" ref="N186" si="526">(L186+K186+M186)/E186</f>
        <v>1</v>
      </c>
      <c r="O186" s="1">
        <f t="shared" ref="O186" si="527">N186*E186</f>
        <v>7000</v>
      </c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</row>
    <row r="187" spans="1:33" s="32" customFormat="1" ht="15" customHeight="1">
      <c r="A187" s="37">
        <v>44279</v>
      </c>
      <c r="B187" s="57" t="s">
        <v>69</v>
      </c>
      <c r="C187" s="20" t="s">
        <v>47</v>
      </c>
      <c r="D187" s="20">
        <v>205</v>
      </c>
      <c r="E187" s="38">
        <v>7000</v>
      </c>
      <c r="F187" s="20" t="s">
        <v>8</v>
      </c>
      <c r="G187" s="43">
        <v>2</v>
      </c>
      <c r="H187" s="43">
        <v>2.2999999999999998</v>
      </c>
      <c r="I187" s="43">
        <v>0</v>
      </c>
      <c r="J187" s="43">
        <v>0</v>
      </c>
      <c r="K187" s="1">
        <f t="shared" ref="K187" si="528">(IF(F187="SELL",G187-H187,IF(F187="BUY",H187-G187)))*E187</f>
        <v>2099.9999999999986</v>
      </c>
      <c r="L187" s="43">
        <v>0</v>
      </c>
      <c r="M187" s="43">
        <v>0</v>
      </c>
      <c r="N187" s="1">
        <f t="shared" ref="N187" si="529">(L187+K187+M187)/E187</f>
        <v>0.29999999999999982</v>
      </c>
      <c r="O187" s="1">
        <f t="shared" ref="O187" si="530">N187*E187</f>
        <v>2099.9999999999986</v>
      </c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</row>
    <row r="188" spans="1:33" s="32" customFormat="1" ht="15" customHeight="1">
      <c r="A188" s="37">
        <v>44279</v>
      </c>
      <c r="B188" s="57" t="s">
        <v>116</v>
      </c>
      <c r="C188" s="20" t="s">
        <v>47</v>
      </c>
      <c r="D188" s="20">
        <v>1100</v>
      </c>
      <c r="E188" s="38">
        <v>2000</v>
      </c>
      <c r="F188" s="20" t="s">
        <v>8</v>
      </c>
      <c r="G188" s="43">
        <v>15</v>
      </c>
      <c r="H188" s="43">
        <v>16</v>
      </c>
      <c r="I188" s="43">
        <v>18</v>
      </c>
      <c r="J188" s="43">
        <v>0</v>
      </c>
      <c r="K188" s="1">
        <f t="shared" ref="K188" si="531">(IF(F188="SELL",G188-H188,IF(F188="BUY",H188-G188)))*E188</f>
        <v>2000</v>
      </c>
      <c r="L188" s="43">
        <f>E188*2</f>
        <v>4000</v>
      </c>
      <c r="M188" s="43">
        <v>0</v>
      </c>
      <c r="N188" s="1">
        <f t="shared" ref="N188" si="532">(L188+K188+M188)/E188</f>
        <v>3</v>
      </c>
      <c r="O188" s="1">
        <f t="shared" ref="O188" si="533">N188*E188</f>
        <v>6000</v>
      </c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</row>
    <row r="189" spans="1:33" s="32" customFormat="1" ht="15" customHeight="1">
      <c r="A189" s="37">
        <v>44278</v>
      </c>
      <c r="B189" s="57" t="s">
        <v>116</v>
      </c>
      <c r="C189" s="20" t="s">
        <v>47</v>
      </c>
      <c r="D189" s="20">
        <v>1120</v>
      </c>
      <c r="E189" s="38">
        <v>2000</v>
      </c>
      <c r="F189" s="20" t="s">
        <v>8</v>
      </c>
      <c r="G189" s="43">
        <v>14</v>
      </c>
      <c r="H189" s="43">
        <v>15</v>
      </c>
      <c r="I189" s="43">
        <v>0</v>
      </c>
      <c r="J189" s="43">
        <v>0</v>
      </c>
      <c r="K189" s="1">
        <f t="shared" ref="K189" si="534">(IF(F189="SELL",G189-H189,IF(F189="BUY",H189-G189)))*E189</f>
        <v>2000</v>
      </c>
      <c r="L189" s="43">
        <v>0</v>
      </c>
      <c r="M189" s="43">
        <v>0</v>
      </c>
      <c r="N189" s="1">
        <f t="shared" ref="N189" si="535">(L189+K189+M189)/E189</f>
        <v>1</v>
      </c>
      <c r="O189" s="1">
        <f t="shared" ref="O189" si="536">N189*E189</f>
        <v>2000</v>
      </c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</row>
    <row r="190" spans="1:33" s="32" customFormat="1" ht="15" customHeight="1">
      <c r="A190" s="37">
        <v>44278</v>
      </c>
      <c r="B190" s="57" t="s">
        <v>24</v>
      </c>
      <c r="C190" s="20" t="s">
        <v>47</v>
      </c>
      <c r="D190" s="20">
        <v>310</v>
      </c>
      <c r="E190" s="38">
        <v>5700</v>
      </c>
      <c r="F190" s="20" t="s">
        <v>8</v>
      </c>
      <c r="G190" s="43">
        <v>4.6500000000000004</v>
      </c>
      <c r="H190" s="43">
        <v>5.3</v>
      </c>
      <c r="I190" s="43">
        <v>7</v>
      </c>
      <c r="J190" s="43">
        <v>0</v>
      </c>
      <c r="K190" s="1">
        <f t="shared" ref="K190" si="537">(IF(F190="SELL",G190-H190,IF(F190="BUY",H190-G190)))*E190</f>
        <v>3704.9999999999968</v>
      </c>
      <c r="L190" s="43">
        <f>E190*1.7</f>
        <v>9690</v>
      </c>
      <c r="M190" s="43">
        <v>0</v>
      </c>
      <c r="N190" s="1">
        <f t="shared" ref="N190" si="538">(L190+K190+M190)/E190</f>
        <v>2.3499999999999992</v>
      </c>
      <c r="O190" s="1">
        <f t="shared" ref="O190" si="539">N190*E190</f>
        <v>13394.999999999995</v>
      </c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</row>
    <row r="191" spans="1:33" s="32" customFormat="1" ht="15" customHeight="1">
      <c r="A191" s="37">
        <v>44277</v>
      </c>
      <c r="B191" s="57" t="s">
        <v>476</v>
      </c>
      <c r="C191" s="20" t="s">
        <v>46</v>
      </c>
      <c r="D191" s="20">
        <v>160</v>
      </c>
      <c r="E191" s="38">
        <v>6000</v>
      </c>
      <c r="F191" s="20" t="s">
        <v>8</v>
      </c>
      <c r="G191" s="43">
        <v>3.8</v>
      </c>
      <c r="H191" s="43">
        <v>4.5</v>
      </c>
      <c r="I191" s="43">
        <v>0</v>
      </c>
      <c r="J191" s="43">
        <v>0</v>
      </c>
      <c r="K191" s="1">
        <f t="shared" ref="K191" si="540">(IF(F191="SELL",G191-H191,IF(F191="BUY",H191-G191)))*E191</f>
        <v>4200.0000000000009</v>
      </c>
      <c r="L191" s="43">
        <v>0</v>
      </c>
      <c r="M191" s="43">
        <v>0</v>
      </c>
      <c r="N191" s="1">
        <f t="shared" ref="N191" si="541">(L191+K191+M191)/E191</f>
        <v>0.70000000000000018</v>
      </c>
      <c r="O191" s="1">
        <f t="shared" ref="O191" si="542">N191*E191</f>
        <v>4200.0000000000009</v>
      </c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</row>
    <row r="192" spans="1:33" s="32" customFormat="1" ht="15" customHeight="1">
      <c r="A192" s="37">
        <v>44277</v>
      </c>
      <c r="B192" s="57" t="s">
        <v>116</v>
      </c>
      <c r="C192" s="20" t="s">
        <v>47</v>
      </c>
      <c r="D192" s="20">
        <v>920</v>
      </c>
      <c r="E192" s="38">
        <v>2000</v>
      </c>
      <c r="F192" s="20" t="s">
        <v>8</v>
      </c>
      <c r="G192" s="43">
        <v>19.399999999999999</v>
      </c>
      <c r="H192" s="43">
        <v>21</v>
      </c>
      <c r="I192" s="43">
        <v>23</v>
      </c>
      <c r="J192" s="43">
        <v>0</v>
      </c>
      <c r="K192" s="1">
        <f t="shared" ref="K192" si="543">(IF(F192="SELL",G192-H192,IF(F192="BUY",H192-G192)))*E192</f>
        <v>3200.0000000000027</v>
      </c>
      <c r="L192" s="43">
        <f>E192*2</f>
        <v>4000</v>
      </c>
      <c r="M192" s="43">
        <v>0</v>
      </c>
      <c r="N192" s="1">
        <f t="shared" ref="N192" si="544">(L192+K192+M192)/E192</f>
        <v>3.6000000000000014</v>
      </c>
      <c r="O192" s="1">
        <f t="shared" ref="O192" si="545">N192*E192</f>
        <v>7200.0000000000027</v>
      </c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</row>
    <row r="193" spans="1:33" s="32" customFormat="1" ht="15" customHeight="1">
      <c r="A193" s="37">
        <v>44274</v>
      </c>
      <c r="B193" s="57" t="s">
        <v>28</v>
      </c>
      <c r="C193" s="20" t="s">
        <v>47</v>
      </c>
      <c r="D193" s="20">
        <v>540</v>
      </c>
      <c r="E193" s="38">
        <v>1851</v>
      </c>
      <c r="F193" s="20" t="s">
        <v>8</v>
      </c>
      <c r="G193" s="43">
        <v>8</v>
      </c>
      <c r="H193" s="43">
        <v>5.5</v>
      </c>
      <c r="I193" s="43">
        <v>0</v>
      </c>
      <c r="J193" s="43">
        <v>0</v>
      </c>
      <c r="K193" s="1">
        <f t="shared" ref="K193" si="546">(IF(F193="SELL",G193-H193,IF(F193="BUY",H193-G193)))*E193</f>
        <v>-4627.5</v>
      </c>
      <c r="L193" s="43">
        <v>0</v>
      </c>
      <c r="M193" s="43">
        <v>0</v>
      </c>
      <c r="N193" s="1">
        <f t="shared" ref="N193" si="547">(L193+K193+M193)/E193</f>
        <v>-2.5</v>
      </c>
      <c r="O193" s="1">
        <f t="shared" ref="O193" si="548">N193*E193</f>
        <v>-4627.5</v>
      </c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</row>
    <row r="194" spans="1:33" s="32" customFormat="1" ht="15" customHeight="1">
      <c r="A194" s="37">
        <v>44274</v>
      </c>
      <c r="B194" s="57" t="s">
        <v>24</v>
      </c>
      <c r="C194" s="20" t="s">
        <v>47</v>
      </c>
      <c r="D194" s="20">
        <v>290</v>
      </c>
      <c r="E194" s="38">
        <v>5700</v>
      </c>
      <c r="F194" s="20" t="s">
        <v>8</v>
      </c>
      <c r="G194" s="43">
        <v>13</v>
      </c>
      <c r="H194" s="43">
        <v>14</v>
      </c>
      <c r="I194" s="43">
        <v>16</v>
      </c>
      <c r="J194" s="43">
        <v>0</v>
      </c>
      <c r="K194" s="1">
        <f t="shared" ref="K194" si="549">(IF(F194="SELL",G194-H194,IF(F194="BUY",H194-G194)))*E194</f>
        <v>5700</v>
      </c>
      <c r="L194" s="43">
        <f>E194*2</f>
        <v>11400</v>
      </c>
      <c r="M194" s="43">
        <v>0</v>
      </c>
      <c r="N194" s="1">
        <f t="shared" ref="N194" si="550">(L194+K194+M194)/E194</f>
        <v>3</v>
      </c>
      <c r="O194" s="1">
        <f t="shared" ref="O194" si="551">N194*E194</f>
        <v>17100</v>
      </c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</row>
    <row r="195" spans="1:33" s="32" customFormat="1" ht="15" customHeight="1">
      <c r="A195" s="37">
        <v>44274</v>
      </c>
      <c r="B195" s="57" t="s">
        <v>109</v>
      </c>
      <c r="C195" s="20" t="s">
        <v>47</v>
      </c>
      <c r="D195" s="20">
        <v>405</v>
      </c>
      <c r="E195" s="38">
        <v>3200</v>
      </c>
      <c r="F195" s="20" t="s">
        <v>8</v>
      </c>
      <c r="G195" s="43">
        <v>8</v>
      </c>
      <c r="H195" s="43">
        <v>9</v>
      </c>
      <c r="I195" s="43">
        <v>10.8</v>
      </c>
      <c r="J195" s="43">
        <v>0</v>
      </c>
      <c r="K195" s="1">
        <f t="shared" ref="K195" si="552">(IF(F195="SELL",G195-H195,IF(F195="BUY",H195-G195)))*E195</f>
        <v>3200</v>
      </c>
      <c r="L195" s="43">
        <f>E195*1.8</f>
        <v>5760</v>
      </c>
      <c r="M195" s="43">
        <v>0</v>
      </c>
      <c r="N195" s="1">
        <f t="shared" ref="N195" si="553">(L195+K195+M195)/E195</f>
        <v>2.8</v>
      </c>
      <c r="O195" s="1">
        <f t="shared" ref="O195" si="554">N195*E195</f>
        <v>8960</v>
      </c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</row>
    <row r="196" spans="1:33" s="32" customFormat="1" ht="15" customHeight="1">
      <c r="A196" s="37">
        <v>44274</v>
      </c>
      <c r="B196" s="57" t="s">
        <v>13</v>
      </c>
      <c r="C196" s="20" t="s">
        <v>47</v>
      </c>
      <c r="D196" s="20">
        <v>950</v>
      </c>
      <c r="E196" s="38">
        <v>700</v>
      </c>
      <c r="F196" s="20" t="s">
        <v>8</v>
      </c>
      <c r="G196" s="43">
        <v>22</v>
      </c>
      <c r="H196" s="43">
        <v>26</v>
      </c>
      <c r="I196" s="43">
        <v>0</v>
      </c>
      <c r="J196" s="43">
        <v>0</v>
      </c>
      <c r="K196" s="1">
        <f t="shared" ref="K196" si="555">(IF(F196="SELL",G196-H196,IF(F196="BUY",H196-G196)))*E196</f>
        <v>2800</v>
      </c>
      <c r="L196" s="43">
        <v>0</v>
      </c>
      <c r="M196" s="43">
        <v>0</v>
      </c>
      <c r="N196" s="1">
        <f t="shared" ref="N196" si="556">(L196+K196+M196)/E196</f>
        <v>4</v>
      </c>
      <c r="O196" s="1">
        <f t="shared" ref="O196" si="557">N196*E196</f>
        <v>2800</v>
      </c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</row>
    <row r="197" spans="1:33" s="32" customFormat="1" ht="15" customHeight="1">
      <c r="A197" s="37">
        <v>44273</v>
      </c>
      <c r="B197" s="57" t="s">
        <v>162</v>
      </c>
      <c r="C197" s="20" t="s">
        <v>46</v>
      </c>
      <c r="D197" s="20">
        <v>2750</v>
      </c>
      <c r="E197" s="38">
        <v>250</v>
      </c>
      <c r="F197" s="20" t="s">
        <v>8</v>
      </c>
      <c r="G197" s="43">
        <v>30</v>
      </c>
      <c r="H197" s="43">
        <v>36</v>
      </c>
      <c r="I197" s="43">
        <v>0</v>
      </c>
      <c r="J197" s="43">
        <v>0</v>
      </c>
      <c r="K197" s="1">
        <f t="shared" ref="K197" si="558">(IF(F197="SELL",G197-H197,IF(F197="BUY",H197-G197)))*E197</f>
        <v>1500</v>
      </c>
      <c r="L197" s="43">
        <v>0</v>
      </c>
      <c r="M197" s="43">
        <v>0</v>
      </c>
      <c r="N197" s="1">
        <f t="shared" ref="N197" si="559">(L197+K197+M197)/E197</f>
        <v>6</v>
      </c>
      <c r="O197" s="1">
        <f t="shared" ref="O197" si="560">N197*E197</f>
        <v>1500</v>
      </c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</row>
    <row r="198" spans="1:33" s="32" customFormat="1" ht="15" customHeight="1">
      <c r="A198" s="37">
        <v>44273</v>
      </c>
      <c r="B198" s="57" t="s">
        <v>332</v>
      </c>
      <c r="C198" s="20" t="s">
        <v>47</v>
      </c>
      <c r="D198" s="20">
        <v>1030</v>
      </c>
      <c r="E198" s="38">
        <v>1200</v>
      </c>
      <c r="F198" s="20" t="s">
        <v>8</v>
      </c>
      <c r="G198" s="43">
        <v>22.5</v>
      </c>
      <c r="H198" s="43">
        <v>24.65</v>
      </c>
      <c r="I198" s="43">
        <v>0</v>
      </c>
      <c r="J198" s="43">
        <v>0</v>
      </c>
      <c r="K198" s="1">
        <f t="shared" ref="K198" si="561">(IF(F198="SELL",G198-H198,IF(F198="BUY",H198-G198)))*E198</f>
        <v>2579.9999999999982</v>
      </c>
      <c r="L198" s="43">
        <v>0</v>
      </c>
      <c r="M198" s="43">
        <v>0</v>
      </c>
      <c r="N198" s="1">
        <f t="shared" ref="N198" si="562">(L198+K198+M198)/E198</f>
        <v>2.1499999999999986</v>
      </c>
      <c r="O198" s="1">
        <f t="shared" ref="O198" si="563">N198*E198</f>
        <v>2579.9999999999982</v>
      </c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</row>
    <row r="199" spans="1:33" s="32" customFormat="1" ht="15" customHeight="1">
      <c r="A199" s="37">
        <v>44273</v>
      </c>
      <c r="B199" s="57" t="s">
        <v>109</v>
      </c>
      <c r="C199" s="20" t="s">
        <v>47</v>
      </c>
      <c r="D199" s="20">
        <v>425</v>
      </c>
      <c r="E199" s="38">
        <v>3200</v>
      </c>
      <c r="F199" s="20" t="s">
        <v>8</v>
      </c>
      <c r="G199" s="43">
        <v>6</v>
      </c>
      <c r="H199" s="43">
        <v>7</v>
      </c>
      <c r="I199" s="43">
        <v>0</v>
      </c>
      <c r="J199" s="43">
        <v>0</v>
      </c>
      <c r="K199" s="1">
        <f t="shared" ref="K199" si="564">(IF(F199="SELL",G199-H199,IF(F199="BUY",H199-G199)))*E199</f>
        <v>3200</v>
      </c>
      <c r="L199" s="43">
        <v>0</v>
      </c>
      <c r="M199" s="43">
        <v>0</v>
      </c>
      <c r="N199" s="1">
        <f t="shared" ref="N199" si="565">(L199+K199+M199)/E199</f>
        <v>1</v>
      </c>
      <c r="O199" s="1">
        <f t="shared" ref="O199" si="566">N199*E199</f>
        <v>3200</v>
      </c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</row>
    <row r="200" spans="1:33" s="32" customFormat="1" ht="15" customHeight="1">
      <c r="A200" s="37">
        <v>44273</v>
      </c>
      <c r="B200" s="57" t="s">
        <v>22</v>
      </c>
      <c r="C200" s="20" t="s">
        <v>46</v>
      </c>
      <c r="D200" s="20">
        <v>300</v>
      </c>
      <c r="E200" s="38">
        <v>3300</v>
      </c>
      <c r="F200" s="20" t="s">
        <v>8</v>
      </c>
      <c r="G200" s="43">
        <v>10</v>
      </c>
      <c r="H200" s="43">
        <v>11</v>
      </c>
      <c r="I200" s="43">
        <v>12.65</v>
      </c>
      <c r="J200" s="43">
        <v>0</v>
      </c>
      <c r="K200" s="1">
        <f t="shared" ref="K200" si="567">(IF(F200="SELL",G200-H200,IF(F200="BUY",H200-G200)))*E200</f>
        <v>3300</v>
      </c>
      <c r="L200" s="43">
        <f>E200*1.65</f>
        <v>5445</v>
      </c>
      <c r="M200" s="43">
        <v>0</v>
      </c>
      <c r="N200" s="1">
        <f t="shared" ref="N200" si="568">(L200+K200+M200)/E200</f>
        <v>2.65</v>
      </c>
      <c r="O200" s="1">
        <f t="shared" ref="O200" si="569">N200*E200</f>
        <v>8745</v>
      </c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</row>
    <row r="201" spans="1:33" s="32" customFormat="1" ht="15" customHeight="1">
      <c r="A201" s="37">
        <v>44272</v>
      </c>
      <c r="B201" s="57" t="s">
        <v>415</v>
      </c>
      <c r="C201" s="20" t="s">
        <v>46</v>
      </c>
      <c r="D201" s="20">
        <v>3200</v>
      </c>
      <c r="E201" s="38">
        <v>300</v>
      </c>
      <c r="F201" s="20" t="s">
        <v>8</v>
      </c>
      <c r="G201" s="43">
        <v>50</v>
      </c>
      <c r="H201" s="43">
        <v>65</v>
      </c>
      <c r="I201" s="43">
        <v>0</v>
      </c>
      <c r="J201" s="43">
        <v>0</v>
      </c>
      <c r="K201" s="1">
        <f t="shared" ref="K201" si="570">(IF(F201="SELL",G201-H201,IF(F201="BUY",H201-G201)))*E201</f>
        <v>4500</v>
      </c>
      <c r="L201" s="43">
        <v>0</v>
      </c>
      <c r="M201" s="43">
        <v>0</v>
      </c>
      <c r="N201" s="1">
        <f t="shared" ref="N201" si="571">(L201+K201+M201)/E201</f>
        <v>15</v>
      </c>
      <c r="O201" s="1">
        <f t="shared" ref="O201" si="572">N201*E201</f>
        <v>4500</v>
      </c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</row>
    <row r="202" spans="1:33" s="32" customFormat="1" ht="15" customHeight="1">
      <c r="A202" s="37">
        <v>44272</v>
      </c>
      <c r="B202" s="57" t="s">
        <v>22</v>
      </c>
      <c r="C202" s="20" t="s">
        <v>46</v>
      </c>
      <c r="D202" s="20">
        <v>300</v>
      </c>
      <c r="E202" s="38">
        <v>3300</v>
      </c>
      <c r="F202" s="20" t="s">
        <v>8</v>
      </c>
      <c r="G202" s="43">
        <v>8.25</v>
      </c>
      <c r="H202" s="43">
        <v>9</v>
      </c>
      <c r="I202" s="43">
        <v>11.85</v>
      </c>
      <c r="J202" s="43">
        <v>0</v>
      </c>
      <c r="K202" s="1">
        <f t="shared" ref="K202" si="573">(IF(F202="SELL",G202-H202,IF(F202="BUY",H202-G202)))*E202</f>
        <v>2475</v>
      </c>
      <c r="L202" s="43">
        <f>E202*2.85</f>
        <v>9405</v>
      </c>
      <c r="M202" s="43">
        <v>0</v>
      </c>
      <c r="N202" s="1">
        <f t="shared" ref="N202" si="574">(L202+K202+M202)/E202</f>
        <v>3.6</v>
      </c>
      <c r="O202" s="1">
        <f t="shared" ref="O202" si="575">N202*E202</f>
        <v>11880</v>
      </c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</row>
    <row r="203" spans="1:33" s="32" customFormat="1" ht="15" customHeight="1">
      <c r="A203" s="37">
        <v>44272</v>
      </c>
      <c r="B203" s="57" t="s">
        <v>404</v>
      </c>
      <c r="C203" s="20" t="s">
        <v>46</v>
      </c>
      <c r="D203" s="20">
        <v>150</v>
      </c>
      <c r="E203" s="38">
        <v>6000</v>
      </c>
      <c r="F203" s="20" t="s">
        <v>8</v>
      </c>
      <c r="G203" s="43">
        <v>5.55</v>
      </c>
      <c r="H203" s="43">
        <v>5.85</v>
      </c>
      <c r="I203" s="43">
        <v>0</v>
      </c>
      <c r="J203" s="43">
        <v>0</v>
      </c>
      <c r="K203" s="1">
        <f t="shared" ref="K203" si="576">(IF(F203="SELL",G203-H203,IF(F203="BUY",H203-G203)))*E203</f>
        <v>1799.9999999999989</v>
      </c>
      <c r="L203" s="43">
        <v>0</v>
      </c>
      <c r="M203" s="43">
        <v>0</v>
      </c>
      <c r="N203" s="1">
        <f t="shared" ref="N203" si="577">(L203+K203+M203)/E203</f>
        <v>0.29999999999999982</v>
      </c>
      <c r="O203" s="1">
        <f t="shared" ref="O203" si="578">N203*E203</f>
        <v>1799.9999999999989</v>
      </c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</row>
    <row r="204" spans="1:33" s="32" customFormat="1" ht="15" customHeight="1">
      <c r="A204" s="37">
        <v>44272</v>
      </c>
      <c r="B204" s="57" t="s">
        <v>357</v>
      </c>
      <c r="C204" s="20" t="s">
        <v>47</v>
      </c>
      <c r="D204" s="20">
        <v>2040</v>
      </c>
      <c r="E204" s="38">
        <v>800</v>
      </c>
      <c r="F204" s="20" t="s">
        <v>8</v>
      </c>
      <c r="G204" s="43">
        <v>49</v>
      </c>
      <c r="H204" s="43">
        <v>43</v>
      </c>
      <c r="I204" s="43">
        <v>0</v>
      </c>
      <c r="J204" s="43">
        <v>0</v>
      </c>
      <c r="K204" s="1">
        <f t="shared" ref="K204" si="579">(IF(F204="SELL",G204-H204,IF(F204="BUY",H204-G204)))*E204</f>
        <v>-4800</v>
      </c>
      <c r="L204" s="43">
        <v>0</v>
      </c>
      <c r="M204" s="43">
        <v>0</v>
      </c>
      <c r="N204" s="1">
        <f t="shared" ref="N204" si="580">(L204+K204+M204)/E204</f>
        <v>-6</v>
      </c>
      <c r="O204" s="1">
        <f t="shared" ref="O204" si="581">N204*E204</f>
        <v>-4800</v>
      </c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</row>
    <row r="205" spans="1:33" s="32" customFormat="1" ht="15" customHeight="1">
      <c r="A205" s="37">
        <v>44271</v>
      </c>
      <c r="B205" s="57" t="s">
        <v>75</v>
      </c>
      <c r="C205" s="20" t="s">
        <v>47</v>
      </c>
      <c r="D205" s="20">
        <v>3050</v>
      </c>
      <c r="E205" s="38">
        <v>500</v>
      </c>
      <c r="F205" s="20" t="s">
        <v>8</v>
      </c>
      <c r="G205" s="43">
        <v>72</v>
      </c>
      <c r="H205" s="43">
        <v>78.400000000000006</v>
      </c>
      <c r="I205" s="43">
        <v>95</v>
      </c>
      <c r="J205" s="43">
        <v>0</v>
      </c>
      <c r="K205" s="1">
        <f t="shared" ref="K205" si="582">(IF(F205="SELL",G205-H205,IF(F205="BUY",H205-G205)))*E205</f>
        <v>3200.0000000000027</v>
      </c>
      <c r="L205" s="43">
        <f>E205*16.6</f>
        <v>8300</v>
      </c>
      <c r="M205" s="43">
        <v>0</v>
      </c>
      <c r="N205" s="1">
        <f t="shared" ref="N205" si="583">(L205+K205+M205)/E205</f>
        <v>23.000000000000007</v>
      </c>
      <c r="O205" s="1">
        <f t="shared" ref="O205" si="584">N205*E205</f>
        <v>11500.000000000004</v>
      </c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</row>
    <row r="206" spans="1:33" s="32" customFormat="1" ht="15" customHeight="1">
      <c r="A206" s="37">
        <v>44271</v>
      </c>
      <c r="B206" s="57" t="s">
        <v>109</v>
      </c>
      <c r="C206" s="20" t="s">
        <v>47</v>
      </c>
      <c r="D206" s="20">
        <v>435</v>
      </c>
      <c r="E206" s="38">
        <v>3200</v>
      </c>
      <c r="F206" s="20" t="s">
        <v>8</v>
      </c>
      <c r="G206" s="43">
        <v>9</v>
      </c>
      <c r="H206" s="43">
        <v>10</v>
      </c>
      <c r="I206" s="43">
        <v>0</v>
      </c>
      <c r="J206" s="43">
        <v>0</v>
      </c>
      <c r="K206" s="1">
        <f t="shared" ref="K206" si="585">(IF(F206="SELL",G206-H206,IF(F206="BUY",H206-G206)))*E206</f>
        <v>3200</v>
      </c>
      <c r="L206" s="43">
        <v>0</v>
      </c>
      <c r="M206" s="43">
        <v>0</v>
      </c>
      <c r="N206" s="1">
        <f t="shared" ref="N206" si="586">(L206+K206+M206)/E206</f>
        <v>1</v>
      </c>
      <c r="O206" s="1">
        <f t="shared" ref="O206" si="587">N206*E206</f>
        <v>3200</v>
      </c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</row>
    <row r="207" spans="1:33" s="32" customFormat="1" ht="15" customHeight="1">
      <c r="A207" s="37">
        <v>44271</v>
      </c>
      <c r="B207" s="57" t="s">
        <v>270</v>
      </c>
      <c r="C207" s="20" t="s">
        <v>46</v>
      </c>
      <c r="D207" s="20">
        <v>315</v>
      </c>
      <c r="E207" s="38">
        <v>5000</v>
      </c>
      <c r="F207" s="20" t="s">
        <v>8</v>
      </c>
      <c r="G207" s="43">
        <v>8.6</v>
      </c>
      <c r="H207" s="43">
        <v>7.7</v>
      </c>
      <c r="I207" s="43">
        <v>0</v>
      </c>
      <c r="J207" s="43">
        <v>0</v>
      </c>
      <c r="K207" s="1">
        <f t="shared" ref="K207" si="588">(IF(F207="SELL",G207-H207,IF(F207="BUY",H207-G207)))*E207</f>
        <v>-4499.9999999999973</v>
      </c>
      <c r="L207" s="43">
        <v>0</v>
      </c>
      <c r="M207" s="43">
        <v>0</v>
      </c>
      <c r="N207" s="1">
        <f t="shared" ref="N207" si="589">(L207+K207+M207)/E207</f>
        <v>-0.89999999999999947</v>
      </c>
      <c r="O207" s="1">
        <f t="shared" ref="O207" si="590">N207*E207</f>
        <v>-4499.9999999999973</v>
      </c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</row>
    <row r="208" spans="1:33" s="32" customFormat="1" ht="15" customHeight="1">
      <c r="A208" s="37">
        <v>44270</v>
      </c>
      <c r="B208" s="57" t="s">
        <v>60</v>
      </c>
      <c r="C208" s="20" t="s">
        <v>47</v>
      </c>
      <c r="D208" s="20">
        <v>222.5</v>
      </c>
      <c r="E208" s="38">
        <v>6200</v>
      </c>
      <c r="F208" s="20" t="s">
        <v>8</v>
      </c>
      <c r="G208" s="43">
        <v>11</v>
      </c>
      <c r="H208" s="43">
        <v>12</v>
      </c>
      <c r="I208" s="43">
        <v>0</v>
      </c>
      <c r="J208" s="43">
        <v>0</v>
      </c>
      <c r="K208" s="1">
        <f t="shared" ref="K208" si="591">(IF(F208="SELL",G208-H208,IF(F208="BUY",H208-G208)))*E208</f>
        <v>6200</v>
      </c>
      <c r="L208" s="43">
        <v>0</v>
      </c>
      <c r="M208" s="43">
        <v>0</v>
      </c>
      <c r="N208" s="1">
        <f t="shared" ref="N208" si="592">(L208+K208+M208)/E208</f>
        <v>1</v>
      </c>
      <c r="O208" s="1">
        <f t="shared" ref="O208" si="593">N208*E208</f>
        <v>6200</v>
      </c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</row>
    <row r="209" spans="1:33" s="32" customFormat="1" ht="15" customHeight="1">
      <c r="A209" s="37">
        <v>44270</v>
      </c>
      <c r="B209" s="57" t="s">
        <v>69</v>
      </c>
      <c r="C209" s="20" t="s">
        <v>47</v>
      </c>
      <c r="D209" s="20">
        <v>217.5</v>
      </c>
      <c r="E209" s="38">
        <v>7000</v>
      </c>
      <c r="F209" s="20" t="s">
        <v>8</v>
      </c>
      <c r="G209" s="43">
        <v>8.4</v>
      </c>
      <c r="H209" s="43">
        <v>9</v>
      </c>
      <c r="I209" s="43">
        <v>0</v>
      </c>
      <c r="J209" s="43">
        <v>0</v>
      </c>
      <c r="K209" s="1">
        <f t="shared" ref="K209" si="594">(IF(F209="SELL",G209-H209,IF(F209="BUY",H209-G209)))*E209</f>
        <v>4199.9999999999973</v>
      </c>
      <c r="L209" s="43">
        <v>0</v>
      </c>
      <c r="M209" s="43">
        <v>0</v>
      </c>
      <c r="N209" s="1">
        <f t="shared" ref="N209" si="595">(L209+K209+M209)/E209</f>
        <v>0.59999999999999964</v>
      </c>
      <c r="O209" s="1">
        <f t="shared" ref="O209" si="596">N209*E209</f>
        <v>4199.9999999999973</v>
      </c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</row>
    <row r="210" spans="1:33" s="32" customFormat="1" ht="15" customHeight="1">
      <c r="A210" s="37">
        <v>44270</v>
      </c>
      <c r="B210" s="57" t="s">
        <v>332</v>
      </c>
      <c r="C210" s="20" t="s">
        <v>47</v>
      </c>
      <c r="D210" s="20">
        <v>1020</v>
      </c>
      <c r="E210" s="38">
        <v>1200</v>
      </c>
      <c r="F210" s="20" t="s">
        <v>8</v>
      </c>
      <c r="G210" s="43">
        <v>28</v>
      </c>
      <c r="H210" s="43">
        <v>31</v>
      </c>
      <c r="I210" s="43">
        <v>34</v>
      </c>
      <c r="J210" s="43">
        <v>0</v>
      </c>
      <c r="K210" s="1">
        <f t="shared" ref="K210" si="597">(IF(F210="SELL",G210-H210,IF(F210="BUY",H210-G210)))*E210</f>
        <v>3600</v>
      </c>
      <c r="L210" s="43">
        <f>E210*3</f>
        <v>3600</v>
      </c>
      <c r="M210" s="43">
        <v>0</v>
      </c>
      <c r="N210" s="1">
        <f t="shared" ref="N210" si="598">(L210+K210+M210)/E210</f>
        <v>6</v>
      </c>
      <c r="O210" s="1">
        <f t="shared" ref="O210" si="599">N210*E210</f>
        <v>7200</v>
      </c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</row>
    <row r="211" spans="1:33" s="32" customFormat="1" ht="15" customHeight="1">
      <c r="A211" s="37">
        <v>44270</v>
      </c>
      <c r="B211" s="57" t="s">
        <v>15</v>
      </c>
      <c r="C211" s="20" t="s">
        <v>47</v>
      </c>
      <c r="D211" s="20">
        <v>610</v>
      </c>
      <c r="E211" s="38">
        <v>1400</v>
      </c>
      <c r="F211" s="20" t="s">
        <v>8</v>
      </c>
      <c r="G211" s="43">
        <v>8</v>
      </c>
      <c r="H211" s="43">
        <v>9</v>
      </c>
      <c r="I211" s="43">
        <v>0</v>
      </c>
      <c r="J211" s="43">
        <v>0</v>
      </c>
      <c r="K211" s="1">
        <f t="shared" ref="K211" si="600">(IF(F211="SELL",G211-H211,IF(F211="BUY",H211-G211)))*E211</f>
        <v>1400</v>
      </c>
      <c r="L211" s="43">
        <v>0</v>
      </c>
      <c r="M211" s="43">
        <v>0</v>
      </c>
      <c r="N211" s="1">
        <f t="shared" ref="N211" si="601">(L211+K211+M211)/E211</f>
        <v>1</v>
      </c>
      <c r="O211" s="1">
        <f t="shared" ref="O211" si="602">N211*E211</f>
        <v>1400</v>
      </c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</row>
    <row r="212" spans="1:33" s="32" customFormat="1" ht="15" customHeight="1">
      <c r="A212" s="37">
        <v>44267</v>
      </c>
      <c r="B212" s="57" t="s">
        <v>69</v>
      </c>
      <c r="C212" s="20" t="s">
        <v>46</v>
      </c>
      <c r="D212" s="20">
        <v>205</v>
      </c>
      <c r="E212" s="38">
        <v>7000</v>
      </c>
      <c r="F212" s="20" t="s">
        <v>8</v>
      </c>
      <c r="G212" s="43">
        <v>4.0999999999999996</v>
      </c>
      <c r="H212" s="43">
        <v>4.8</v>
      </c>
      <c r="I212" s="43">
        <v>5.8</v>
      </c>
      <c r="J212" s="43">
        <v>0</v>
      </c>
      <c r="K212" s="1">
        <f t="shared" ref="K212" si="603">(IF(F212="SELL",G212-H212,IF(F212="BUY",H212-G212)))*E212</f>
        <v>4900.0000000000009</v>
      </c>
      <c r="L212" s="43">
        <f>E212*0.9</f>
        <v>6300</v>
      </c>
      <c r="M212" s="43">
        <v>0</v>
      </c>
      <c r="N212" s="1">
        <f t="shared" ref="N212" si="604">(L212+K212+M212)/E212</f>
        <v>1.6</v>
      </c>
      <c r="O212" s="1">
        <f t="shared" ref="O212" si="605">N212*E212</f>
        <v>11200</v>
      </c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</row>
    <row r="213" spans="1:33" s="32" customFormat="1" ht="15" customHeight="1">
      <c r="A213" s="37">
        <v>44267</v>
      </c>
      <c r="B213" s="57" t="s">
        <v>270</v>
      </c>
      <c r="C213" s="20" t="s">
        <v>46</v>
      </c>
      <c r="D213" s="20">
        <v>310</v>
      </c>
      <c r="E213" s="38">
        <v>5000</v>
      </c>
      <c r="F213" s="20" t="s">
        <v>8</v>
      </c>
      <c r="G213" s="43">
        <v>8.3000000000000007</v>
      </c>
      <c r="H213" s="43">
        <v>9</v>
      </c>
      <c r="I213" s="43">
        <v>10</v>
      </c>
      <c r="J213" s="43">
        <v>0</v>
      </c>
      <c r="K213" s="1">
        <f t="shared" ref="K213" si="606">(IF(F213="SELL",G213-H213,IF(F213="BUY",H213-G213)))*E213</f>
        <v>3499.9999999999964</v>
      </c>
      <c r="L213" s="43">
        <f>E213*1</f>
        <v>5000</v>
      </c>
      <c r="M213" s="43">
        <v>0</v>
      </c>
      <c r="N213" s="1">
        <f t="shared" ref="N213" si="607">(L213+K213+M213)/E213</f>
        <v>1.6999999999999993</v>
      </c>
      <c r="O213" s="1">
        <f t="shared" ref="O213" si="608">N213*E213</f>
        <v>8499.9999999999964</v>
      </c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</row>
    <row r="214" spans="1:33" s="32" customFormat="1" ht="15" customHeight="1">
      <c r="A214" s="37">
        <v>44267</v>
      </c>
      <c r="B214" s="57" t="s">
        <v>200</v>
      </c>
      <c r="C214" s="20" t="s">
        <v>47</v>
      </c>
      <c r="D214" s="20">
        <v>810</v>
      </c>
      <c r="E214" s="38">
        <v>2000</v>
      </c>
      <c r="F214" s="20" t="s">
        <v>8</v>
      </c>
      <c r="G214" s="43">
        <v>19.5</v>
      </c>
      <c r="H214" s="43">
        <v>21</v>
      </c>
      <c r="I214" s="43">
        <v>25</v>
      </c>
      <c r="J214" s="43">
        <v>0</v>
      </c>
      <c r="K214" s="1">
        <f t="shared" ref="K214" si="609">(IF(F214="SELL",G214-H214,IF(F214="BUY",H214-G214)))*E214</f>
        <v>3000</v>
      </c>
      <c r="L214" s="43">
        <f>E214*4</f>
        <v>8000</v>
      </c>
      <c r="M214" s="43">
        <v>0</v>
      </c>
      <c r="N214" s="1">
        <f t="shared" ref="N214" si="610">(L214+K214+M214)/E214</f>
        <v>5.5</v>
      </c>
      <c r="O214" s="1">
        <f t="shared" ref="O214" si="611">N214*E214</f>
        <v>11000</v>
      </c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</row>
    <row r="215" spans="1:33" s="32" customFormat="1" ht="15" customHeight="1">
      <c r="A215" s="37">
        <v>44267</v>
      </c>
      <c r="B215" s="57" t="s">
        <v>367</v>
      </c>
      <c r="C215" s="20" t="s">
        <v>47</v>
      </c>
      <c r="D215" s="20">
        <v>245</v>
      </c>
      <c r="E215" s="38">
        <v>5000</v>
      </c>
      <c r="F215" s="20" t="s">
        <v>8</v>
      </c>
      <c r="G215" s="43">
        <v>9.1</v>
      </c>
      <c r="H215" s="43">
        <v>9.5500000000000007</v>
      </c>
      <c r="I215" s="43">
        <v>9.9</v>
      </c>
      <c r="J215" s="43">
        <v>0</v>
      </c>
      <c r="K215" s="1">
        <f t="shared" ref="K215" si="612">(IF(F215="SELL",G215-H215,IF(F215="BUY",H215-G215)))*E215</f>
        <v>2250.0000000000055</v>
      </c>
      <c r="L215" s="43">
        <f>E215*0.35</f>
        <v>1750</v>
      </c>
      <c r="M215" s="43">
        <v>0</v>
      </c>
      <c r="N215" s="1">
        <f t="shared" ref="N215" si="613">(L215+K215+M215)/E215</f>
        <v>0.80000000000000104</v>
      </c>
      <c r="O215" s="1">
        <f t="shared" ref="O215" si="614">N215*E215</f>
        <v>4000.000000000005</v>
      </c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</row>
    <row r="216" spans="1:33" s="32" customFormat="1" ht="15" customHeight="1">
      <c r="A216" s="37">
        <v>44265</v>
      </c>
      <c r="B216" s="57" t="s">
        <v>116</v>
      </c>
      <c r="C216" s="20" t="s">
        <v>46</v>
      </c>
      <c r="D216" s="20">
        <v>840</v>
      </c>
      <c r="E216" s="38">
        <v>2000</v>
      </c>
      <c r="F216" s="20" t="s">
        <v>8</v>
      </c>
      <c r="G216" s="43">
        <v>20.3</v>
      </c>
      <c r="H216" s="43">
        <v>21.3</v>
      </c>
      <c r="I216" s="43">
        <v>0</v>
      </c>
      <c r="J216" s="43">
        <v>0</v>
      </c>
      <c r="K216" s="1">
        <f t="shared" ref="K216" si="615">(IF(F216="SELL",G216-H216,IF(F216="BUY",H216-G216)))*E216</f>
        <v>2000</v>
      </c>
      <c r="L216" s="43">
        <v>0</v>
      </c>
      <c r="M216" s="43">
        <v>0</v>
      </c>
      <c r="N216" s="1">
        <f t="shared" ref="N216" si="616">(L216+K216+M216)/E216</f>
        <v>1</v>
      </c>
      <c r="O216" s="1">
        <f t="shared" ref="O216" si="617">N216*E216</f>
        <v>2000</v>
      </c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</row>
    <row r="217" spans="1:33" s="32" customFormat="1" ht="15" customHeight="1">
      <c r="A217" s="37">
        <v>44265</v>
      </c>
      <c r="B217" s="57" t="s">
        <v>413</v>
      </c>
      <c r="C217" s="20" t="s">
        <v>46</v>
      </c>
      <c r="D217" s="20">
        <v>315</v>
      </c>
      <c r="E217" s="38">
        <v>3100</v>
      </c>
      <c r="F217" s="20" t="s">
        <v>8</v>
      </c>
      <c r="G217" s="43">
        <v>7.5</v>
      </c>
      <c r="H217" s="43">
        <v>6.95</v>
      </c>
      <c r="I217" s="43">
        <v>0</v>
      </c>
      <c r="J217" s="43">
        <v>0</v>
      </c>
      <c r="K217" s="1">
        <f t="shared" ref="K217" si="618">(IF(F217="SELL",G217-H217,IF(F217="BUY",H217-G217)))*E217</f>
        <v>-1704.9999999999995</v>
      </c>
      <c r="L217" s="43">
        <v>0</v>
      </c>
      <c r="M217" s="43">
        <v>0</v>
      </c>
      <c r="N217" s="1">
        <f t="shared" ref="N217" si="619">(L217+K217+M217)/E217</f>
        <v>-0.54999999999999982</v>
      </c>
      <c r="O217" s="1">
        <f t="shared" ref="O217" si="620">N217*E217</f>
        <v>-1704.9999999999995</v>
      </c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</row>
    <row r="218" spans="1:33" s="32" customFormat="1" ht="15" customHeight="1">
      <c r="A218" s="37">
        <v>44265</v>
      </c>
      <c r="B218" s="57" t="s">
        <v>328</v>
      </c>
      <c r="C218" s="20" t="s">
        <v>46</v>
      </c>
      <c r="D218" s="20">
        <v>510</v>
      </c>
      <c r="E218" s="38">
        <v>2500</v>
      </c>
      <c r="F218" s="20" t="s">
        <v>8</v>
      </c>
      <c r="G218" s="43">
        <v>13</v>
      </c>
      <c r="H218" s="43">
        <v>14</v>
      </c>
      <c r="I218" s="43">
        <v>0</v>
      </c>
      <c r="J218" s="43">
        <v>0</v>
      </c>
      <c r="K218" s="1">
        <f t="shared" ref="K218" si="621">(IF(F218="SELL",G218-H218,IF(F218="BUY",H218-G218)))*E218</f>
        <v>2500</v>
      </c>
      <c r="L218" s="43">
        <v>0</v>
      </c>
      <c r="M218" s="43">
        <v>0</v>
      </c>
      <c r="N218" s="1">
        <f t="shared" ref="N218" si="622">(L218+K218+M218)/E218</f>
        <v>1</v>
      </c>
      <c r="O218" s="1">
        <f t="shared" ref="O218" si="623">N218*E218</f>
        <v>2500</v>
      </c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</row>
    <row r="219" spans="1:33" s="32" customFormat="1" ht="15" customHeight="1">
      <c r="A219" s="37">
        <v>44264</v>
      </c>
      <c r="B219" s="57" t="s">
        <v>75</v>
      </c>
      <c r="C219" s="20" t="s">
        <v>47</v>
      </c>
      <c r="D219" s="20">
        <v>3050</v>
      </c>
      <c r="E219" s="38">
        <v>500</v>
      </c>
      <c r="F219" s="20" t="s">
        <v>8</v>
      </c>
      <c r="G219" s="43">
        <v>57</v>
      </c>
      <c r="H219" s="43">
        <v>64</v>
      </c>
      <c r="I219" s="43">
        <v>0</v>
      </c>
      <c r="J219" s="43">
        <v>0</v>
      </c>
      <c r="K219" s="1">
        <f t="shared" ref="K219" si="624">(IF(F219="SELL",G219-H219,IF(F219="BUY",H219-G219)))*E219</f>
        <v>3500</v>
      </c>
      <c r="L219" s="43">
        <v>0</v>
      </c>
      <c r="M219" s="43">
        <v>0</v>
      </c>
      <c r="N219" s="1">
        <f t="shared" ref="N219" si="625">(L219+K219+M219)/E219</f>
        <v>7</v>
      </c>
      <c r="O219" s="1">
        <f t="shared" ref="O219" si="626">N219*E219</f>
        <v>3500</v>
      </c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</row>
    <row r="220" spans="1:33" s="32" customFormat="1" ht="15" customHeight="1">
      <c r="A220" s="37">
        <v>44264</v>
      </c>
      <c r="B220" s="57" t="s">
        <v>367</v>
      </c>
      <c r="C220" s="20" t="s">
        <v>47</v>
      </c>
      <c r="D220" s="20">
        <v>245</v>
      </c>
      <c r="E220" s="38">
        <v>5000</v>
      </c>
      <c r="F220" s="20" t="s">
        <v>8</v>
      </c>
      <c r="G220" s="43">
        <v>8.25</v>
      </c>
      <c r="H220" s="43">
        <v>7.5</v>
      </c>
      <c r="I220" s="43">
        <v>0</v>
      </c>
      <c r="J220" s="43">
        <v>0</v>
      </c>
      <c r="K220" s="1">
        <f t="shared" ref="K220" si="627">(IF(F220="SELL",G220-H220,IF(F220="BUY",H220-G220)))*E220</f>
        <v>-3750</v>
      </c>
      <c r="L220" s="43">
        <v>0</v>
      </c>
      <c r="M220" s="43">
        <v>0</v>
      </c>
      <c r="N220" s="1">
        <f t="shared" ref="N220" si="628">(L220+K220+M220)/E220</f>
        <v>-0.75</v>
      </c>
      <c r="O220" s="1">
        <f t="shared" ref="O220" si="629">N220*E220</f>
        <v>-3750</v>
      </c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</row>
    <row r="221" spans="1:33" s="32" customFormat="1" ht="15" customHeight="1">
      <c r="A221" s="37">
        <v>44264</v>
      </c>
      <c r="B221" s="57" t="s">
        <v>410</v>
      </c>
      <c r="C221" s="20" t="s">
        <v>47</v>
      </c>
      <c r="D221" s="20">
        <v>1760</v>
      </c>
      <c r="E221" s="38">
        <v>500</v>
      </c>
      <c r="F221" s="20" t="s">
        <v>8</v>
      </c>
      <c r="G221" s="43">
        <v>54</v>
      </c>
      <c r="H221" s="43">
        <v>59</v>
      </c>
      <c r="I221" s="43">
        <v>0</v>
      </c>
      <c r="J221" s="43">
        <v>0</v>
      </c>
      <c r="K221" s="1">
        <f t="shared" ref="K221" si="630">(IF(F221="SELL",G221-H221,IF(F221="BUY",H221-G221)))*E221</f>
        <v>2500</v>
      </c>
      <c r="L221" s="43">
        <v>0</v>
      </c>
      <c r="M221" s="43">
        <v>0</v>
      </c>
      <c r="N221" s="1">
        <f t="shared" ref="N221" si="631">(L221+K221+M221)/E221</f>
        <v>5</v>
      </c>
      <c r="O221" s="1">
        <f t="shared" ref="O221" si="632">N221*E221</f>
        <v>2500</v>
      </c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</row>
    <row r="222" spans="1:33" s="32" customFormat="1" ht="15" customHeight="1">
      <c r="A222" s="37">
        <v>44263</v>
      </c>
      <c r="B222" s="57" t="s">
        <v>103</v>
      </c>
      <c r="C222" s="20" t="s">
        <v>47</v>
      </c>
      <c r="D222" s="20">
        <v>125</v>
      </c>
      <c r="E222" s="38">
        <v>9000</v>
      </c>
      <c r="F222" s="20" t="s">
        <v>8</v>
      </c>
      <c r="G222" s="43">
        <v>8</v>
      </c>
      <c r="H222" s="43">
        <v>8.4</v>
      </c>
      <c r="I222" s="43">
        <v>0</v>
      </c>
      <c r="J222" s="43">
        <v>0</v>
      </c>
      <c r="K222" s="1">
        <f t="shared" ref="K222" si="633">(IF(F222="SELL",G222-H222,IF(F222="BUY",H222-G222)))*E222</f>
        <v>3600.0000000000032</v>
      </c>
      <c r="L222" s="43">
        <v>0</v>
      </c>
      <c r="M222" s="43">
        <v>0</v>
      </c>
      <c r="N222" s="1">
        <f t="shared" ref="N222" si="634">(L222+K222+M222)/E222</f>
        <v>0.40000000000000036</v>
      </c>
      <c r="O222" s="1">
        <f t="shared" ref="O222" si="635">N222*E222</f>
        <v>3600.0000000000032</v>
      </c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</row>
    <row r="223" spans="1:33" s="32" customFormat="1" ht="15" customHeight="1">
      <c r="A223" s="37">
        <v>44263</v>
      </c>
      <c r="B223" s="57" t="s">
        <v>39</v>
      </c>
      <c r="C223" s="20" t="s">
        <v>47</v>
      </c>
      <c r="D223" s="20">
        <v>2300</v>
      </c>
      <c r="E223" s="38">
        <v>250</v>
      </c>
      <c r="F223" s="20" t="s">
        <v>8</v>
      </c>
      <c r="G223" s="43">
        <v>46</v>
      </c>
      <c r="H223" s="43">
        <v>35</v>
      </c>
      <c r="I223" s="43">
        <v>0</v>
      </c>
      <c r="J223" s="43">
        <v>0</v>
      </c>
      <c r="K223" s="1">
        <f t="shared" ref="K223" si="636">(IF(F223="SELL",G223-H223,IF(F223="BUY",H223-G223)))*E223</f>
        <v>-2750</v>
      </c>
      <c r="L223" s="43">
        <v>0</v>
      </c>
      <c r="M223" s="43">
        <v>0</v>
      </c>
      <c r="N223" s="1">
        <f t="shared" ref="N223" si="637">(L223+K223+M223)/E223</f>
        <v>-11</v>
      </c>
      <c r="O223" s="1">
        <f t="shared" ref="O223" si="638">N223*E223</f>
        <v>-2750</v>
      </c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</row>
    <row r="224" spans="1:33" s="32" customFormat="1" ht="15" customHeight="1">
      <c r="A224" s="37">
        <v>44263</v>
      </c>
      <c r="B224" s="57" t="s">
        <v>24</v>
      </c>
      <c r="C224" s="20" t="s">
        <v>47</v>
      </c>
      <c r="D224" s="20">
        <v>345</v>
      </c>
      <c r="E224" s="38">
        <v>5700</v>
      </c>
      <c r="F224" s="20" t="s">
        <v>8</v>
      </c>
      <c r="G224" s="43">
        <v>11.7</v>
      </c>
      <c r="H224" s="43">
        <v>12.2</v>
      </c>
      <c r="I224" s="43">
        <v>0</v>
      </c>
      <c r="J224" s="43">
        <v>0</v>
      </c>
      <c r="K224" s="1">
        <f t="shared" ref="K224" si="639">(IF(F224="SELL",G224-H224,IF(F224="BUY",H224-G224)))*E224</f>
        <v>2850</v>
      </c>
      <c r="L224" s="43">
        <v>0</v>
      </c>
      <c r="M224" s="43">
        <v>0</v>
      </c>
      <c r="N224" s="1">
        <f t="shared" ref="N224" si="640">(L224+K224+M224)/E224</f>
        <v>0.5</v>
      </c>
      <c r="O224" s="1">
        <f t="shared" ref="O224" si="641">N224*E224</f>
        <v>2850</v>
      </c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</row>
    <row r="225" spans="1:33" s="32" customFormat="1" ht="15" customHeight="1">
      <c r="A225" s="37">
        <v>44263</v>
      </c>
      <c r="B225" s="57" t="s">
        <v>328</v>
      </c>
      <c r="C225" s="20" t="s">
        <v>47</v>
      </c>
      <c r="D225" s="20">
        <v>530</v>
      </c>
      <c r="E225" s="38">
        <v>2500</v>
      </c>
      <c r="F225" s="20" t="s">
        <v>8</v>
      </c>
      <c r="G225" s="43">
        <v>28.5</v>
      </c>
      <c r="H225" s="43">
        <v>30.6</v>
      </c>
      <c r="I225" s="43">
        <v>0</v>
      </c>
      <c r="J225" s="43">
        <v>0</v>
      </c>
      <c r="K225" s="1">
        <f t="shared" ref="K225" si="642">(IF(F225="SELL",G225-H225,IF(F225="BUY",H225-G225)))*E225</f>
        <v>5250.0000000000036</v>
      </c>
      <c r="L225" s="43">
        <v>0</v>
      </c>
      <c r="M225" s="43">
        <v>0</v>
      </c>
      <c r="N225" s="1">
        <f t="shared" ref="N225" si="643">(L225+K225+M225)/E225</f>
        <v>2.1000000000000014</v>
      </c>
      <c r="O225" s="1">
        <f t="shared" ref="O225" si="644">N225*E225</f>
        <v>5250.0000000000036</v>
      </c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</row>
    <row r="226" spans="1:33" s="32" customFormat="1" ht="15" customHeight="1">
      <c r="A226" s="37">
        <v>44260</v>
      </c>
      <c r="B226" s="57" t="s">
        <v>69</v>
      </c>
      <c r="C226" s="20" t="s">
        <v>47</v>
      </c>
      <c r="D226" s="20">
        <v>245</v>
      </c>
      <c r="E226" s="38">
        <v>7000</v>
      </c>
      <c r="F226" s="20" t="s">
        <v>8</v>
      </c>
      <c r="G226" s="43">
        <v>7.5</v>
      </c>
      <c r="H226" s="43">
        <v>6.95</v>
      </c>
      <c r="I226" s="43">
        <v>0</v>
      </c>
      <c r="J226" s="43">
        <v>0</v>
      </c>
      <c r="K226" s="1">
        <f t="shared" ref="K226" si="645">(IF(F226="SELL",G226-H226,IF(F226="BUY",H226-G226)))*E226</f>
        <v>-3849.9999999999986</v>
      </c>
      <c r="L226" s="43">
        <v>0</v>
      </c>
      <c r="M226" s="43">
        <v>0</v>
      </c>
      <c r="N226" s="1">
        <f t="shared" ref="N226" si="646">(L226+K226+M226)/E226</f>
        <v>-0.54999999999999982</v>
      </c>
      <c r="O226" s="1">
        <f t="shared" ref="O226" si="647">N226*E226</f>
        <v>-3849.9999999999986</v>
      </c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</row>
    <row r="227" spans="1:33" s="32" customFormat="1" ht="15" customHeight="1">
      <c r="A227" s="37">
        <v>44260</v>
      </c>
      <c r="B227" s="57" t="s">
        <v>109</v>
      </c>
      <c r="C227" s="20" t="s">
        <v>47</v>
      </c>
      <c r="D227" s="20">
        <v>450</v>
      </c>
      <c r="E227" s="38">
        <v>3200</v>
      </c>
      <c r="F227" s="20" t="s">
        <v>8</v>
      </c>
      <c r="G227" s="43">
        <v>10</v>
      </c>
      <c r="H227" s="43">
        <v>8.9</v>
      </c>
      <c r="I227" s="43">
        <v>0</v>
      </c>
      <c r="J227" s="43">
        <v>0</v>
      </c>
      <c r="K227" s="1">
        <f t="shared" ref="K227" si="648">(IF(F227="SELL",G227-H227,IF(F227="BUY",H227-G227)))*E227</f>
        <v>-3519.9999999999991</v>
      </c>
      <c r="L227" s="43">
        <v>0</v>
      </c>
      <c r="M227" s="43">
        <v>0</v>
      </c>
      <c r="N227" s="1">
        <f t="shared" ref="N227" si="649">(L227+K227+M227)/E227</f>
        <v>-1.0999999999999996</v>
      </c>
      <c r="O227" s="1">
        <f t="shared" ref="O227" si="650">N227*E227</f>
        <v>-3519.9999999999991</v>
      </c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</row>
    <row r="228" spans="1:33" s="32" customFormat="1" ht="15" customHeight="1">
      <c r="A228" s="37">
        <v>44260</v>
      </c>
      <c r="B228" s="57" t="s">
        <v>332</v>
      </c>
      <c r="C228" s="20" t="s">
        <v>47</v>
      </c>
      <c r="D228" s="20">
        <v>990</v>
      </c>
      <c r="E228" s="38">
        <v>1200</v>
      </c>
      <c r="F228" s="20" t="s">
        <v>8</v>
      </c>
      <c r="G228" s="43">
        <v>30</v>
      </c>
      <c r="H228" s="43">
        <v>27</v>
      </c>
      <c r="I228" s="43">
        <v>0</v>
      </c>
      <c r="J228" s="43">
        <v>0</v>
      </c>
      <c r="K228" s="1">
        <f t="shared" ref="K228" si="651">(IF(F228="SELL",G228-H228,IF(F228="BUY",H228-G228)))*E228</f>
        <v>-3600</v>
      </c>
      <c r="L228" s="43">
        <v>0</v>
      </c>
      <c r="M228" s="43">
        <v>0</v>
      </c>
      <c r="N228" s="1">
        <f t="shared" ref="N228" si="652">(L228+K228+M228)/E228</f>
        <v>-3</v>
      </c>
      <c r="O228" s="1">
        <f t="shared" ref="O228" si="653">N228*E228</f>
        <v>-3600</v>
      </c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</row>
    <row r="229" spans="1:33" s="32" customFormat="1" ht="15" customHeight="1">
      <c r="A229" s="37">
        <v>44259</v>
      </c>
      <c r="B229" s="57" t="s">
        <v>109</v>
      </c>
      <c r="C229" s="20" t="s">
        <v>47</v>
      </c>
      <c r="D229" s="20">
        <v>450</v>
      </c>
      <c r="E229" s="38">
        <v>3200</v>
      </c>
      <c r="F229" s="20" t="s">
        <v>8</v>
      </c>
      <c r="G229" s="43">
        <v>10</v>
      </c>
      <c r="H229" s="43">
        <v>11</v>
      </c>
      <c r="I229" s="43">
        <v>12.3</v>
      </c>
      <c r="J229" s="43">
        <v>0</v>
      </c>
      <c r="K229" s="1">
        <f t="shared" ref="K229" si="654">(IF(F229="SELL",G229-H229,IF(F229="BUY",H229-G229)))*E229</f>
        <v>3200</v>
      </c>
      <c r="L229" s="43">
        <f>E229*1.3</f>
        <v>4160</v>
      </c>
      <c r="M229" s="43">
        <v>0</v>
      </c>
      <c r="N229" s="1">
        <f t="shared" ref="N229" si="655">(L229+K229+M229)/E229</f>
        <v>2.2999999999999998</v>
      </c>
      <c r="O229" s="1">
        <f t="shared" ref="O229" si="656">N229*E229</f>
        <v>7359.9999999999991</v>
      </c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</row>
    <row r="230" spans="1:33" s="32" customFormat="1" ht="15" customHeight="1">
      <c r="A230" s="37">
        <v>44259</v>
      </c>
      <c r="B230" s="57" t="s">
        <v>332</v>
      </c>
      <c r="C230" s="20" t="s">
        <v>47</v>
      </c>
      <c r="D230" s="20">
        <v>990</v>
      </c>
      <c r="E230" s="38">
        <v>1200</v>
      </c>
      <c r="F230" s="20" t="s">
        <v>8</v>
      </c>
      <c r="G230" s="43">
        <v>31</v>
      </c>
      <c r="H230" s="43">
        <v>33</v>
      </c>
      <c r="I230" s="43">
        <v>37.6</v>
      </c>
      <c r="J230" s="43">
        <v>0</v>
      </c>
      <c r="K230" s="1">
        <f t="shared" ref="K230" si="657">(IF(F230="SELL",G230-H230,IF(F230="BUY",H230-G230)))*E230</f>
        <v>2400</v>
      </c>
      <c r="L230" s="43">
        <f>E230*4.6</f>
        <v>5520</v>
      </c>
      <c r="M230" s="43">
        <v>0</v>
      </c>
      <c r="N230" s="1">
        <f t="shared" ref="N230" si="658">(L230+K230+M230)/E230</f>
        <v>6.6</v>
      </c>
      <c r="O230" s="1">
        <f t="shared" ref="O230" si="659">N230*E230</f>
        <v>7920</v>
      </c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</row>
    <row r="231" spans="1:33" s="32" customFormat="1" ht="15" customHeight="1">
      <c r="A231" s="37">
        <v>44259</v>
      </c>
      <c r="B231" s="57" t="s">
        <v>69</v>
      </c>
      <c r="C231" s="20" t="s">
        <v>47</v>
      </c>
      <c r="D231" s="20">
        <v>245</v>
      </c>
      <c r="E231" s="38">
        <v>7000</v>
      </c>
      <c r="F231" s="20" t="s">
        <v>8</v>
      </c>
      <c r="G231" s="43">
        <v>9.75</v>
      </c>
      <c r="H231" s="43">
        <v>9.9</v>
      </c>
      <c r="I231" s="43">
        <v>0</v>
      </c>
      <c r="J231" s="43">
        <v>0</v>
      </c>
      <c r="K231" s="1">
        <f t="shared" ref="K231" si="660">(IF(F231="SELL",G231-H231,IF(F231="BUY",H231-G231)))*E231</f>
        <v>1050.0000000000025</v>
      </c>
      <c r="L231" s="43">
        <v>0</v>
      </c>
      <c r="M231" s="43">
        <v>0</v>
      </c>
      <c r="N231" s="1">
        <f t="shared" ref="N231" si="661">(L231+K231+M231)/E231</f>
        <v>0.15000000000000036</v>
      </c>
      <c r="O231" s="1">
        <f t="shared" ref="O231" si="662">N231*E231</f>
        <v>1050.0000000000025</v>
      </c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</row>
    <row r="232" spans="1:33" s="32" customFormat="1" ht="15" customHeight="1">
      <c r="A232" s="37">
        <v>44258</v>
      </c>
      <c r="B232" s="57" t="s">
        <v>504</v>
      </c>
      <c r="C232" s="20" t="s">
        <v>47</v>
      </c>
      <c r="D232" s="20">
        <v>135</v>
      </c>
      <c r="E232" s="38">
        <v>6700</v>
      </c>
      <c r="F232" s="20" t="s">
        <v>8</v>
      </c>
      <c r="G232" s="43">
        <v>7</v>
      </c>
      <c r="H232" s="43">
        <v>7.5</v>
      </c>
      <c r="I232" s="43">
        <v>0</v>
      </c>
      <c r="J232" s="43">
        <v>0</v>
      </c>
      <c r="K232" s="1">
        <f t="shared" ref="K232" si="663">(IF(F232="SELL",G232-H232,IF(F232="BUY",H232-G232)))*E232</f>
        <v>3350</v>
      </c>
      <c r="L232" s="43">
        <v>0</v>
      </c>
      <c r="M232" s="43">
        <v>0</v>
      </c>
      <c r="N232" s="1">
        <f t="shared" ref="N232" si="664">(L232+K232+M232)/E232</f>
        <v>0.5</v>
      </c>
      <c r="O232" s="1">
        <f t="shared" ref="O232" si="665">N232*E232</f>
        <v>3350</v>
      </c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</row>
    <row r="233" spans="1:33" s="32" customFormat="1" ht="15" customHeight="1">
      <c r="A233" s="37">
        <v>44258</v>
      </c>
      <c r="B233" s="57" t="s">
        <v>367</v>
      </c>
      <c r="C233" s="20" t="s">
        <v>47</v>
      </c>
      <c r="D233" s="20">
        <v>260</v>
      </c>
      <c r="E233" s="38">
        <v>5000</v>
      </c>
      <c r="F233" s="20" t="s">
        <v>8</v>
      </c>
      <c r="G233" s="43">
        <v>10</v>
      </c>
      <c r="H233" s="43">
        <v>10.7</v>
      </c>
      <c r="I233" s="43">
        <v>0</v>
      </c>
      <c r="J233" s="43">
        <v>0</v>
      </c>
      <c r="K233" s="1">
        <f t="shared" ref="K233" si="666">(IF(F233="SELL",G233-H233,IF(F233="BUY",H233-G233)))*E233</f>
        <v>3499.9999999999964</v>
      </c>
      <c r="L233" s="43">
        <v>0</v>
      </c>
      <c r="M233" s="43">
        <v>0</v>
      </c>
      <c r="N233" s="1">
        <f t="shared" ref="N233" si="667">(L233+K233+M233)/E233</f>
        <v>0.69999999999999929</v>
      </c>
      <c r="O233" s="1">
        <f t="shared" ref="O233" si="668">N233*E233</f>
        <v>3499.9999999999964</v>
      </c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</row>
    <row r="234" spans="1:33" s="32" customFormat="1" ht="15" customHeight="1">
      <c r="A234" s="37">
        <v>44258</v>
      </c>
      <c r="B234" s="57" t="s">
        <v>69</v>
      </c>
      <c r="C234" s="20" t="s">
        <v>47</v>
      </c>
      <c r="D234" s="20">
        <v>260</v>
      </c>
      <c r="E234" s="38">
        <v>7000</v>
      </c>
      <c r="F234" s="20" t="s">
        <v>8</v>
      </c>
      <c r="G234" s="43">
        <v>9.5</v>
      </c>
      <c r="H234" s="43">
        <v>10</v>
      </c>
      <c r="I234" s="43">
        <v>0</v>
      </c>
      <c r="J234" s="43">
        <v>0</v>
      </c>
      <c r="K234" s="1">
        <f t="shared" ref="K234" si="669">(IF(F234="SELL",G234-H234,IF(F234="BUY",H234-G234)))*E234</f>
        <v>3500</v>
      </c>
      <c r="L234" s="43">
        <v>0</v>
      </c>
      <c r="M234" s="43">
        <v>0</v>
      </c>
      <c r="N234" s="1">
        <f t="shared" ref="N234" si="670">(L234+K234+M234)/E234</f>
        <v>0.5</v>
      </c>
      <c r="O234" s="1">
        <f t="shared" ref="O234" si="671">N234*E234</f>
        <v>3500</v>
      </c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</row>
    <row r="235" spans="1:33" s="32" customFormat="1" ht="15" customHeight="1">
      <c r="A235" s="37">
        <v>44257</v>
      </c>
      <c r="B235" s="57" t="s">
        <v>22</v>
      </c>
      <c r="C235" s="20" t="s">
        <v>47</v>
      </c>
      <c r="D235" s="20">
        <v>325</v>
      </c>
      <c r="E235" s="38">
        <v>3300</v>
      </c>
      <c r="F235" s="20" t="s">
        <v>8</v>
      </c>
      <c r="G235" s="43">
        <v>15</v>
      </c>
      <c r="H235" s="43">
        <v>15.9</v>
      </c>
      <c r="I235" s="43">
        <v>0</v>
      </c>
      <c r="J235" s="43">
        <v>0</v>
      </c>
      <c r="K235" s="1">
        <f t="shared" ref="K235" si="672">(IF(F235="SELL",G235-H235,IF(F235="BUY",H235-G235)))*E235</f>
        <v>2970.0000000000014</v>
      </c>
      <c r="L235" s="43">
        <v>0</v>
      </c>
      <c r="M235" s="43">
        <v>0</v>
      </c>
      <c r="N235" s="1">
        <f t="shared" ref="N235" si="673">(L235+K235+M235)/E235</f>
        <v>0.90000000000000047</v>
      </c>
      <c r="O235" s="1">
        <f t="shared" ref="O235" si="674">N235*E235</f>
        <v>2970.0000000000014</v>
      </c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</row>
    <row r="236" spans="1:33" s="32" customFormat="1" ht="15" customHeight="1">
      <c r="A236" s="37">
        <v>44257</v>
      </c>
      <c r="B236" s="57" t="s">
        <v>328</v>
      </c>
      <c r="C236" s="20" t="s">
        <v>47</v>
      </c>
      <c r="D236" s="20">
        <v>550</v>
      </c>
      <c r="E236" s="38">
        <v>2500</v>
      </c>
      <c r="F236" s="20" t="s">
        <v>8</v>
      </c>
      <c r="G236" s="43">
        <v>22.5</v>
      </c>
      <c r="H236" s="43">
        <v>24</v>
      </c>
      <c r="I236" s="43">
        <v>26.2</v>
      </c>
      <c r="J236" s="43">
        <v>0</v>
      </c>
      <c r="K236" s="1">
        <f t="shared" ref="K236" si="675">(IF(F236="SELL",G236-H236,IF(F236="BUY",H236-G236)))*E236</f>
        <v>3750</v>
      </c>
      <c r="L236" s="43">
        <f>E236*2.2</f>
        <v>5500</v>
      </c>
      <c r="M236" s="43">
        <v>0</v>
      </c>
      <c r="N236" s="1">
        <f t="shared" ref="N236" si="676">(L236+K236+M236)/E236</f>
        <v>3.7</v>
      </c>
      <c r="O236" s="1">
        <f t="shared" ref="O236" si="677">N236*E236</f>
        <v>9250</v>
      </c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</row>
    <row r="237" spans="1:33" s="32" customFormat="1" ht="15" customHeight="1">
      <c r="A237" s="37">
        <v>44257</v>
      </c>
      <c r="B237" s="57" t="s">
        <v>69</v>
      </c>
      <c r="C237" s="20" t="s">
        <v>47</v>
      </c>
      <c r="D237" s="20">
        <v>250</v>
      </c>
      <c r="E237" s="38">
        <v>7000</v>
      </c>
      <c r="F237" s="20" t="s">
        <v>8</v>
      </c>
      <c r="G237" s="43">
        <v>9.5</v>
      </c>
      <c r="H237" s="43">
        <v>10</v>
      </c>
      <c r="I237" s="43">
        <v>0</v>
      </c>
      <c r="J237" s="43">
        <v>0</v>
      </c>
      <c r="K237" s="1">
        <f t="shared" ref="K237" si="678">(IF(F237="SELL",G237-H237,IF(F237="BUY",H237-G237)))*E237</f>
        <v>3500</v>
      </c>
      <c r="L237" s="43">
        <v>0</v>
      </c>
      <c r="M237" s="43">
        <v>0</v>
      </c>
      <c r="N237" s="1">
        <f t="shared" ref="N237" si="679">(L237+K237+M237)/E237</f>
        <v>0.5</v>
      </c>
      <c r="O237" s="1">
        <f t="shared" ref="O237" si="680">N237*E237</f>
        <v>3500</v>
      </c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</row>
    <row r="238" spans="1:33" s="32" customFormat="1" ht="15" customHeight="1">
      <c r="A238" s="37">
        <v>44256</v>
      </c>
      <c r="B238" s="57" t="s">
        <v>69</v>
      </c>
      <c r="C238" s="20" t="s">
        <v>47</v>
      </c>
      <c r="D238" s="20">
        <v>240</v>
      </c>
      <c r="E238" s="38">
        <v>7000</v>
      </c>
      <c r="F238" s="20" t="s">
        <v>8</v>
      </c>
      <c r="G238" s="43">
        <v>9.5</v>
      </c>
      <c r="H238" s="43">
        <v>10</v>
      </c>
      <c r="I238" s="43">
        <v>12</v>
      </c>
      <c r="J238" s="43">
        <v>0</v>
      </c>
      <c r="K238" s="1">
        <f t="shared" ref="K238" si="681">(IF(F238="SELL",G238-H238,IF(F238="BUY",H238-G238)))*E238</f>
        <v>3500</v>
      </c>
      <c r="L238" s="43">
        <f>E238*2</f>
        <v>14000</v>
      </c>
      <c r="M238" s="43">
        <v>0</v>
      </c>
      <c r="N238" s="1">
        <f t="shared" ref="N238" si="682">(L238+K238+M238)/E238</f>
        <v>2.5</v>
      </c>
      <c r="O238" s="1">
        <f t="shared" ref="O238" si="683">N238*E238</f>
        <v>17500</v>
      </c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</row>
    <row r="239" spans="1:33" s="32" customFormat="1" ht="15" customHeight="1">
      <c r="A239" s="37">
        <v>44256</v>
      </c>
      <c r="B239" s="57" t="s">
        <v>122</v>
      </c>
      <c r="C239" s="20" t="s">
        <v>47</v>
      </c>
      <c r="D239" s="20">
        <v>2700</v>
      </c>
      <c r="E239" s="38">
        <v>300</v>
      </c>
      <c r="F239" s="20" t="s">
        <v>8</v>
      </c>
      <c r="G239" s="43">
        <v>57</v>
      </c>
      <c r="H239" s="43">
        <v>65</v>
      </c>
      <c r="I239" s="43">
        <v>0</v>
      </c>
      <c r="J239" s="43">
        <v>0</v>
      </c>
      <c r="K239" s="1">
        <f t="shared" ref="K239" si="684">(IF(F239="SELL",G239-H239,IF(F239="BUY",H239-G239)))*E239</f>
        <v>2400</v>
      </c>
      <c r="L239" s="43">
        <v>0</v>
      </c>
      <c r="M239" s="43">
        <v>0</v>
      </c>
      <c r="N239" s="1">
        <f t="shared" ref="N239" si="685">(L239+K239+M239)/E239</f>
        <v>8</v>
      </c>
      <c r="O239" s="1">
        <f t="shared" ref="O239" si="686">N239*E239</f>
        <v>2400</v>
      </c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</row>
    <row r="240" spans="1:33" s="32" customFormat="1" ht="15" customHeight="1">
      <c r="A240" s="37">
        <v>44256</v>
      </c>
      <c r="B240" s="57" t="s">
        <v>332</v>
      </c>
      <c r="C240" s="20" t="s">
        <v>47</v>
      </c>
      <c r="D240" s="20">
        <v>970</v>
      </c>
      <c r="E240" s="38">
        <v>1200</v>
      </c>
      <c r="F240" s="20" t="s">
        <v>8</v>
      </c>
      <c r="G240" s="43">
        <v>29</v>
      </c>
      <c r="H240" s="43">
        <v>31</v>
      </c>
      <c r="I240" s="43">
        <v>34</v>
      </c>
      <c r="J240" s="43">
        <v>0</v>
      </c>
      <c r="K240" s="1">
        <f t="shared" ref="K240" si="687">(IF(F240="SELL",G240-H240,IF(F240="BUY",H240-G240)))*E240</f>
        <v>2400</v>
      </c>
      <c r="L240" s="43">
        <f>E240*3</f>
        <v>3600</v>
      </c>
      <c r="M240" s="43">
        <v>0</v>
      </c>
      <c r="N240" s="1">
        <f t="shared" ref="N240" si="688">(L240+K240+M240)/E240</f>
        <v>5</v>
      </c>
      <c r="O240" s="1">
        <f t="shared" ref="O240" si="689">N240*E240</f>
        <v>6000</v>
      </c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</row>
    <row r="241" spans="1:33" s="32" customFormat="1" ht="15" customHeight="1">
      <c r="A241" s="37">
        <v>44256</v>
      </c>
      <c r="B241" s="57" t="s">
        <v>13</v>
      </c>
      <c r="C241" s="20" t="s">
        <v>47</v>
      </c>
      <c r="D241" s="20">
        <v>970</v>
      </c>
      <c r="E241" s="38">
        <v>700</v>
      </c>
      <c r="F241" s="20" t="s">
        <v>8</v>
      </c>
      <c r="G241" s="43">
        <v>21</v>
      </c>
      <c r="H241" s="43">
        <v>22.9</v>
      </c>
      <c r="I241" s="43">
        <v>0</v>
      </c>
      <c r="J241" s="43">
        <v>0</v>
      </c>
      <c r="K241" s="1">
        <f t="shared" ref="K241" si="690">(IF(F241="SELL",G241-H241,IF(F241="BUY",H241-G241)))*E241</f>
        <v>1329.9999999999991</v>
      </c>
      <c r="L241" s="43">
        <v>0</v>
      </c>
      <c r="M241" s="43">
        <v>0</v>
      </c>
      <c r="N241" s="1">
        <f t="shared" ref="N241" si="691">(L241+K241+M241)/E241</f>
        <v>1.8999999999999988</v>
      </c>
      <c r="O241" s="1">
        <f t="shared" ref="O241" si="692">N241*E241</f>
        <v>1329.9999999999991</v>
      </c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</row>
    <row r="242" spans="1:33" s="32" customFormat="1" ht="15" customHeight="1">
      <c r="A242" s="37">
        <v>44253</v>
      </c>
      <c r="B242" s="57" t="s">
        <v>326</v>
      </c>
      <c r="C242" s="20" t="s">
        <v>47</v>
      </c>
      <c r="D242" s="20">
        <v>225</v>
      </c>
      <c r="E242" s="38">
        <v>4000</v>
      </c>
      <c r="F242" s="20" t="s">
        <v>8</v>
      </c>
      <c r="G242" s="43">
        <v>8.4</v>
      </c>
      <c r="H242" s="43">
        <v>9.4</v>
      </c>
      <c r="I242" s="43">
        <v>0</v>
      </c>
      <c r="J242" s="43">
        <v>0</v>
      </c>
      <c r="K242" s="1">
        <f t="shared" ref="K242" si="693">(IF(F242="SELL",G242-H242,IF(F242="BUY",H242-G242)))*E242</f>
        <v>4000</v>
      </c>
      <c r="L242" s="43">
        <v>0</v>
      </c>
      <c r="M242" s="43">
        <v>0</v>
      </c>
      <c r="N242" s="1">
        <f t="shared" ref="N242" si="694">(L242+K242+M242)/E242</f>
        <v>1</v>
      </c>
      <c r="O242" s="1">
        <f t="shared" ref="O242" si="695">N242*E242</f>
        <v>4000</v>
      </c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</row>
    <row r="243" spans="1:33" s="32" customFormat="1" ht="15" customHeight="1">
      <c r="A243" s="37">
        <v>44253</v>
      </c>
      <c r="B243" s="57" t="s">
        <v>504</v>
      </c>
      <c r="C243" s="20" t="s">
        <v>47</v>
      </c>
      <c r="D243" s="20">
        <v>130</v>
      </c>
      <c r="E243" s="38">
        <v>6700</v>
      </c>
      <c r="F243" s="20" t="s">
        <v>8</v>
      </c>
      <c r="G243" s="43">
        <v>8</v>
      </c>
      <c r="H243" s="43">
        <v>8.8000000000000007</v>
      </c>
      <c r="I243" s="43">
        <v>0</v>
      </c>
      <c r="J243" s="43">
        <v>0</v>
      </c>
      <c r="K243" s="1">
        <f t="shared" ref="K243" si="696">(IF(F243="SELL",G243-H243,IF(F243="BUY",H243-G243)))*E243</f>
        <v>5360.0000000000045</v>
      </c>
      <c r="L243" s="43">
        <v>0</v>
      </c>
      <c r="M243" s="43">
        <v>0</v>
      </c>
      <c r="N243" s="1">
        <f t="shared" ref="N243" si="697">(L243+K243+M243)/E243</f>
        <v>0.80000000000000071</v>
      </c>
      <c r="O243" s="1">
        <f t="shared" ref="O243" si="698">N243*E243</f>
        <v>5360.0000000000045</v>
      </c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</row>
    <row r="244" spans="1:33" s="32" customFormat="1" ht="15" customHeight="1">
      <c r="A244" s="37">
        <v>44253</v>
      </c>
      <c r="B244" s="57" t="s">
        <v>13</v>
      </c>
      <c r="C244" s="20" t="s">
        <v>47</v>
      </c>
      <c r="D244" s="20">
        <v>970</v>
      </c>
      <c r="E244" s="38">
        <v>700</v>
      </c>
      <c r="F244" s="20" t="s">
        <v>8</v>
      </c>
      <c r="G244" s="43">
        <v>20.5</v>
      </c>
      <c r="H244" s="43">
        <v>18.75</v>
      </c>
      <c r="I244" s="43">
        <v>0</v>
      </c>
      <c r="J244" s="43">
        <v>0</v>
      </c>
      <c r="K244" s="1">
        <f t="shared" ref="K244" si="699">(IF(F244="SELL",G244-H244,IF(F244="BUY",H244-G244)))*E244</f>
        <v>-1225</v>
      </c>
      <c r="L244" s="43">
        <v>0</v>
      </c>
      <c r="M244" s="43">
        <v>0</v>
      </c>
      <c r="N244" s="1">
        <f t="shared" ref="N244" si="700">(L244+K244+M244)/E244</f>
        <v>-1.75</v>
      </c>
      <c r="O244" s="1">
        <f t="shared" ref="O244" si="701">N244*E244</f>
        <v>-1225</v>
      </c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</row>
    <row r="245" spans="1:33" s="32" customFormat="1" ht="15" customHeight="1">
      <c r="A245" s="37">
        <v>44253</v>
      </c>
      <c r="B245" s="57" t="s">
        <v>109</v>
      </c>
      <c r="C245" s="20" t="s">
        <v>47</v>
      </c>
      <c r="D245" s="20">
        <v>440</v>
      </c>
      <c r="E245" s="38">
        <v>3200</v>
      </c>
      <c r="F245" s="20" t="s">
        <v>8</v>
      </c>
      <c r="G245" s="43">
        <v>9</v>
      </c>
      <c r="H245" s="43">
        <v>8</v>
      </c>
      <c r="I245" s="43">
        <v>0</v>
      </c>
      <c r="J245" s="43">
        <v>0</v>
      </c>
      <c r="K245" s="1">
        <f t="shared" ref="K245" si="702">(IF(F245="SELL",G245-H245,IF(F245="BUY",H245-G245)))*E245</f>
        <v>-3200</v>
      </c>
      <c r="L245" s="43">
        <v>0</v>
      </c>
      <c r="M245" s="43">
        <v>0</v>
      </c>
      <c r="N245" s="1">
        <f t="shared" ref="N245" si="703">(L245+K245+M245)/E245</f>
        <v>-1</v>
      </c>
      <c r="O245" s="1">
        <f t="shared" ref="O245" si="704">N245*E245</f>
        <v>-3200</v>
      </c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</row>
    <row r="246" spans="1:33" s="32" customFormat="1" ht="15" customHeight="1">
      <c r="A246" s="37">
        <v>44252</v>
      </c>
      <c r="B246" s="57" t="s">
        <v>60</v>
      </c>
      <c r="C246" s="20" t="s">
        <v>47</v>
      </c>
      <c r="D246" s="20">
        <v>225</v>
      </c>
      <c r="E246" s="38">
        <v>6200</v>
      </c>
      <c r="F246" s="20" t="s">
        <v>8</v>
      </c>
      <c r="G246" s="43">
        <v>8.6</v>
      </c>
      <c r="H246" s="43">
        <v>9.1999999999999993</v>
      </c>
      <c r="I246" s="43">
        <v>0</v>
      </c>
      <c r="J246" s="43">
        <v>0</v>
      </c>
      <c r="K246" s="1">
        <f t="shared" ref="K246" si="705">(IF(F246="SELL",G246-H246,IF(F246="BUY",H246-G246)))*E246</f>
        <v>3719.9999999999977</v>
      </c>
      <c r="L246" s="43">
        <v>0</v>
      </c>
      <c r="M246" s="43">
        <v>0</v>
      </c>
      <c r="N246" s="1">
        <f t="shared" ref="N246" si="706">(L246+K246+M246)/E246</f>
        <v>0.59999999999999964</v>
      </c>
      <c r="O246" s="1">
        <f t="shared" ref="O246" si="707">N246*E246</f>
        <v>3719.9999999999977</v>
      </c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</row>
    <row r="247" spans="1:33" s="32" customFormat="1" ht="15" customHeight="1">
      <c r="A247" s="37">
        <v>44252</v>
      </c>
      <c r="B247" s="57" t="s">
        <v>404</v>
      </c>
      <c r="C247" s="20" t="s">
        <v>47</v>
      </c>
      <c r="D247" s="20">
        <v>145</v>
      </c>
      <c r="E247" s="38">
        <v>6000</v>
      </c>
      <c r="F247" s="20" t="s">
        <v>8</v>
      </c>
      <c r="G247" s="43">
        <v>6.2</v>
      </c>
      <c r="H247" s="43">
        <v>7</v>
      </c>
      <c r="I247" s="43">
        <v>7.45</v>
      </c>
      <c r="J247" s="43">
        <v>0</v>
      </c>
      <c r="K247" s="1">
        <f t="shared" ref="K247" si="708">(IF(F247="SELL",G247-H247,IF(F247="BUY",H247-G247)))*E247</f>
        <v>4799.9999999999991</v>
      </c>
      <c r="L247" s="43">
        <f>E247*0.45</f>
        <v>2700</v>
      </c>
      <c r="M247" s="43">
        <v>0</v>
      </c>
      <c r="N247" s="1">
        <f t="shared" ref="N247" si="709">(L247+K247+M247)/E247</f>
        <v>1.2499999999999998</v>
      </c>
      <c r="O247" s="1">
        <f t="shared" ref="O247" si="710">N247*E247</f>
        <v>7499.9999999999991</v>
      </c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</row>
    <row r="248" spans="1:33" s="32" customFormat="1" ht="15" customHeight="1">
      <c r="A248" s="37">
        <v>44252</v>
      </c>
      <c r="B248" s="57" t="s">
        <v>34</v>
      </c>
      <c r="C248" s="20" t="s">
        <v>47</v>
      </c>
      <c r="D248" s="20">
        <v>365</v>
      </c>
      <c r="E248" s="38">
        <v>4300</v>
      </c>
      <c r="F248" s="20" t="s">
        <v>8</v>
      </c>
      <c r="G248" s="43">
        <v>13.1</v>
      </c>
      <c r="H248" s="43">
        <v>13.8</v>
      </c>
      <c r="I248" s="43">
        <v>0</v>
      </c>
      <c r="J248" s="43">
        <v>0</v>
      </c>
      <c r="K248" s="1">
        <f t="shared" ref="K248" si="711">(IF(F248="SELL",G248-H248,IF(F248="BUY",H248-G248)))*E248</f>
        <v>3010.0000000000045</v>
      </c>
      <c r="L248" s="43">
        <v>0</v>
      </c>
      <c r="M248" s="43">
        <v>0</v>
      </c>
      <c r="N248" s="1">
        <f t="shared" ref="N248" si="712">(L248+K248+M248)/E248</f>
        <v>0.70000000000000107</v>
      </c>
      <c r="O248" s="1">
        <f t="shared" ref="O248" si="713">N248*E248</f>
        <v>3010.0000000000045</v>
      </c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</row>
    <row r="249" spans="1:33" s="32" customFormat="1" ht="15" customHeight="1">
      <c r="A249" s="37">
        <v>44252</v>
      </c>
      <c r="B249" s="57" t="s">
        <v>367</v>
      </c>
      <c r="C249" s="20" t="s">
        <v>47</v>
      </c>
      <c r="D249" s="20">
        <v>255</v>
      </c>
      <c r="E249" s="38">
        <v>5000</v>
      </c>
      <c r="F249" s="20" t="s">
        <v>8</v>
      </c>
      <c r="G249" s="43">
        <v>10.1</v>
      </c>
      <c r="H249" s="43">
        <v>10.55</v>
      </c>
      <c r="I249" s="43">
        <v>0</v>
      </c>
      <c r="J249" s="43">
        <v>0</v>
      </c>
      <c r="K249" s="1">
        <f t="shared" ref="K249" si="714">(IF(F249="SELL",G249-H249,IF(F249="BUY",H249-G249)))*E249</f>
        <v>2250.0000000000055</v>
      </c>
      <c r="L249" s="43">
        <v>0</v>
      </c>
      <c r="M249" s="43">
        <v>0</v>
      </c>
      <c r="N249" s="1">
        <f t="shared" ref="N249" si="715">(L249+K249+M249)/E249</f>
        <v>0.45000000000000107</v>
      </c>
      <c r="O249" s="1">
        <f t="shared" ref="O249" si="716">N249*E249</f>
        <v>2250.0000000000055</v>
      </c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</row>
    <row r="250" spans="1:33" s="32" customFormat="1" ht="15" customHeight="1">
      <c r="A250" s="37">
        <v>44252</v>
      </c>
      <c r="B250" s="57" t="s">
        <v>72</v>
      </c>
      <c r="C250" s="20" t="s">
        <v>47</v>
      </c>
      <c r="D250" s="20">
        <v>445</v>
      </c>
      <c r="E250" s="38">
        <v>1800</v>
      </c>
      <c r="F250" s="20" t="s">
        <v>8</v>
      </c>
      <c r="G250" s="43">
        <v>27</v>
      </c>
      <c r="H250" s="43">
        <v>28.5</v>
      </c>
      <c r="I250" s="43">
        <v>32</v>
      </c>
      <c r="J250" s="43">
        <v>0</v>
      </c>
      <c r="K250" s="1">
        <f t="shared" ref="K250" si="717">(IF(F250="SELL",G250-H250,IF(F250="BUY",H250-G250)))*E250</f>
        <v>2700</v>
      </c>
      <c r="L250" s="43">
        <f>E250*3.5</f>
        <v>6300</v>
      </c>
      <c r="M250" s="43">
        <v>0</v>
      </c>
      <c r="N250" s="1">
        <f t="shared" ref="N250" si="718">(L250+K250+M250)/E250</f>
        <v>5</v>
      </c>
      <c r="O250" s="1">
        <f t="shared" ref="O250" si="719">N250*E250</f>
        <v>9000</v>
      </c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</row>
    <row r="251" spans="1:33" s="32" customFormat="1" ht="15" customHeight="1">
      <c r="A251" s="37">
        <v>44252</v>
      </c>
      <c r="B251" s="57" t="s">
        <v>109</v>
      </c>
      <c r="C251" s="20" t="s">
        <v>47</v>
      </c>
      <c r="D251" s="20">
        <v>425</v>
      </c>
      <c r="E251" s="38">
        <v>3200</v>
      </c>
      <c r="F251" s="20" t="s">
        <v>8</v>
      </c>
      <c r="G251" s="43">
        <v>18.7</v>
      </c>
      <c r="H251" s="43">
        <v>17.7</v>
      </c>
      <c r="I251" s="43">
        <v>0</v>
      </c>
      <c r="J251" s="43">
        <v>0</v>
      </c>
      <c r="K251" s="1">
        <f t="shared" ref="K251" si="720">(IF(F251="SELL",G251-H251,IF(F251="BUY",H251-G251)))*E251</f>
        <v>-3200</v>
      </c>
      <c r="L251" s="43">
        <v>0</v>
      </c>
      <c r="M251" s="43">
        <v>0</v>
      </c>
      <c r="N251" s="1">
        <f t="shared" ref="N251" si="721">(L251+K251+M251)/E251</f>
        <v>-1</v>
      </c>
      <c r="O251" s="1">
        <f t="shared" ref="O251" si="722">N251*E251</f>
        <v>-3200</v>
      </c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</row>
    <row r="252" spans="1:33" s="32" customFormat="1" ht="15" customHeight="1">
      <c r="A252" s="37">
        <v>44251</v>
      </c>
      <c r="B252" s="57" t="s">
        <v>29</v>
      </c>
      <c r="C252" s="20" t="s">
        <v>46</v>
      </c>
      <c r="D252" s="20">
        <v>111</v>
      </c>
      <c r="E252" s="38">
        <v>7700</v>
      </c>
      <c r="F252" s="20" t="s">
        <v>8</v>
      </c>
      <c r="G252" s="43">
        <v>1</v>
      </c>
      <c r="H252" s="43">
        <v>1.4</v>
      </c>
      <c r="I252" s="43">
        <v>0</v>
      </c>
      <c r="J252" s="43">
        <v>0</v>
      </c>
      <c r="K252" s="1">
        <f t="shared" ref="K252" si="723">(IF(F252="SELL",G252-H252,IF(F252="BUY",H252-G252)))*E252</f>
        <v>3079.9999999999991</v>
      </c>
      <c r="L252" s="43">
        <v>0</v>
      </c>
      <c r="M252" s="43">
        <v>0</v>
      </c>
      <c r="N252" s="1">
        <f t="shared" ref="N252" si="724">(L252+K252+M252)/E252</f>
        <v>0.39999999999999986</v>
      </c>
      <c r="O252" s="1">
        <f t="shared" ref="O252" si="725">N252*E252</f>
        <v>3079.9999999999991</v>
      </c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</row>
    <row r="253" spans="1:33" s="32" customFormat="1" ht="15" customHeight="1">
      <c r="A253" s="37">
        <v>44251</v>
      </c>
      <c r="B253" s="57" t="s">
        <v>332</v>
      </c>
      <c r="C253" s="20" t="s">
        <v>47</v>
      </c>
      <c r="D253" s="20">
        <v>940</v>
      </c>
      <c r="E253" s="38">
        <v>1200</v>
      </c>
      <c r="F253" s="20" t="s">
        <v>8</v>
      </c>
      <c r="G253" s="43">
        <v>12.9</v>
      </c>
      <c r="H253" s="43">
        <v>15</v>
      </c>
      <c r="I253" s="43">
        <v>0</v>
      </c>
      <c r="J253" s="43">
        <v>0</v>
      </c>
      <c r="K253" s="1">
        <f t="shared" ref="K253" si="726">(IF(F253="SELL",G253-H253,IF(F253="BUY",H253-G253)))*E253</f>
        <v>2519.9999999999995</v>
      </c>
      <c r="L253" s="43">
        <v>0</v>
      </c>
      <c r="M253" s="43">
        <v>0</v>
      </c>
      <c r="N253" s="1">
        <f t="shared" ref="N253" si="727">(L253+K253+M253)/E253</f>
        <v>2.0999999999999996</v>
      </c>
      <c r="O253" s="1">
        <f t="shared" ref="O253" si="728">N253*E253</f>
        <v>2519.9999999999995</v>
      </c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</row>
    <row r="254" spans="1:33" s="32" customFormat="1" ht="15" customHeight="1">
      <c r="A254" s="37">
        <v>44251</v>
      </c>
      <c r="B254" s="57" t="s">
        <v>109</v>
      </c>
      <c r="C254" s="20" t="s">
        <v>47</v>
      </c>
      <c r="D254" s="20">
        <v>420</v>
      </c>
      <c r="E254" s="38">
        <v>3200</v>
      </c>
      <c r="F254" s="20" t="s">
        <v>8</v>
      </c>
      <c r="G254" s="43">
        <v>4.2</v>
      </c>
      <c r="H254" s="43">
        <v>4.3499999999999996</v>
      </c>
      <c r="I254" s="43">
        <v>0</v>
      </c>
      <c r="J254" s="43">
        <v>0</v>
      </c>
      <c r="K254" s="1">
        <f t="shared" ref="K254" si="729">(IF(F254="SELL",G254-H254,IF(F254="BUY",H254-G254)))*E254</f>
        <v>479.99999999999829</v>
      </c>
      <c r="L254" s="43">
        <v>0</v>
      </c>
      <c r="M254" s="43">
        <v>0</v>
      </c>
      <c r="N254" s="1">
        <f t="shared" ref="N254" si="730">(L254+K254+M254)/E254</f>
        <v>0.14999999999999947</v>
      </c>
      <c r="O254" s="1">
        <f t="shared" ref="O254" si="731">N254*E254</f>
        <v>479.99999999999829</v>
      </c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</row>
    <row r="255" spans="1:33" s="32" customFormat="1" ht="15" customHeight="1">
      <c r="A255" s="37">
        <v>44251</v>
      </c>
      <c r="B255" s="57" t="s">
        <v>270</v>
      </c>
      <c r="C255" s="20" t="s">
        <v>47</v>
      </c>
      <c r="D255" s="20">
        <v>350</v>
      </c>
      <c r="E255" s="38">
        <v>5000</v>
      </c>
      <c r="F255" s="20" t="s">
        <v>8</v>
      </c>
      <c r="G255" s="43">
        <v>2.2999999999999998</v>
      </c>
      <c r="H255" s="43">
        <v>1.5</v>
      </c>
      <c r="I255" s="43">
        <v>0</v>
      </c>
      <c r="J255" s="43">
        <v>0</v>
      </c>
      <c r="K255" s="1">
        <f t="shared" ref="K255" si="732">(IF(F255="SELL",G255-H255,IF(F255="BUY",H255-G255)))*E255</f>
        <v>-3999.9999999999991</v>
      </c>
      <c r="L255" s="43">
        <v>0</v>
      </c>
      <c r="M255" s="43">
        <v>0</v>
      </c>
      <c r="N255" s="1">
        <f t="shared" ref="N255" si="733">(L255+K255+M255)/E255</f>
        <v>-0.79999999999999982</v>
      </c>
      <c r="O255" s="1">
        <f t="shared" ref="O255" si="734">N255*E255</f>
        <v>-3999.9999999999991</v>
      </c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</row>
    <row r="256" spans="1:33" s="32" customFormat="1" ht="15" customHeight="1">
      <c r="A256" s="37">
        <v>44250</v>
      </c>
      <c r="B256" s="57" t="s">
        <v>300</v>
      </c>
      <c r="C256" s="20" t="s">
        <v>47</v>
      </c>
      <c r="D256" s="20">
        <v>215</v>
      </c>
      <c r="E256" s="38">
        <v>4000</v>
      </c>
      <c r="F256" s="20" t="s">
        <v>8</v>
      </c>
      <c r="G256" s="43">
        <v>2.5</v>
      </c>
      <c r="H256" s="43">
        <v>1.7</v>
      </c>
      <c r="I256" s="43">
        <v>0</v>
      </c>
      <c r="J256" s="43">
        <v>0</v>
      </c>
      <c r="K256" s="1">
        <f t="shared" ref="K256" si="735">(IF(F256="SELL",G256-H256,IF(F256="BUY",H256-G256)))*E256</f>
        <v>-3200</v>
      </c>
      <c r="L256" s="43">
        <v>0</v>
      </c>
      <c r="M256" s="43">
        <v>0</v>
      </c>
      <c r="N256" s="1">
        <f t="shared" ref="N256" si="736">(L256+K256+M256)/E256</f>
        <v>-0.8</v>
      </c>
      <c r="O256" s="1">
        <f t="shared" ref="O256" si="737">N256*E256</f>
        <v>-3200</v>
      </c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</row>
    <row r="257" spans="1:33" s="32" customFormat="1" ht="15" customHeight="1">
      <c r="A257" s="37">
        <v>44249</v>
      </c>
      <c r="B257" s="57" t="s">
        <v>461</v>
      </c>
      <c r="C257" s="20" t="s">
        <v>47</v>
      </c>
      <c r="D257" s="20">
        <v>4050</v>
      </c>
      <c r="E257" s="38">
        <v>250</v>
      </c>
      <c r="F257" s="20" t="s">
        <v>8</v>
      </c>
      <c r="G257" s="43">
        <v>23.8</v>
      </c>
      <c r="H257" s="43">
        <v>31</v>
      </c>
      <c r="I257" s="43">
        <v>0</v>
      </c>
      <c r="J257" s="43">
        <v>0</v>
      </c>
      <c r="K257" s="1">
        <f t="shared" ref="K257" si="738">(IF(F257="SELL",G257-H257,IF(F257="BUY",H257-G257)))*E257</f>
        <v>1799.9999999999998</v>
      </c>
      <c r="L257" s="43">
        <v>0</v>
      </c>
      <c r="M257" s="43">
        <v>0</v>
      </c>
      <c r="N257" s="1">
        <f t="shared" ref="N257" si="739">(L257+K257+M257)/E257</f>
        <v>7.1999999999999993</v>
      </c>
      <c r="O257" s="1">
        <f t="shared" ref="O257" si="740">N257*E257</f>
        <v>1799.9999999999998</v>
      </c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</row>
    <row r="258" spans="1:33" s="32" customFormat="1" ht="15" customHeight="1">
      <c r="A258" s="37">
        <v>44249</v>
      </c>
      <c r="B258" s="57" t="s">
        <v>336</v>
      </c>
      <c r="C258" s="20" t="s">
        <v>47</v>
      </c>
      <c r="D258" s="20">
        <v>1600</v>
      </c>
      <c r="E258" s="38">
        <v>400</v>
      </c>
      <c r="F258" s="20" t="s">
        <v>8</v>
      </c>
      <c r="G258" s="43">
        <v>12</v>
      </c>
      <c r="H258" s="43">
        <v>16.600000000000001</v>
      </c>
      <c r="I258" s="43">
        <v>0</v>
      </c>
      <c r="J258" s="43">
        <v>0</v>
      </c>
      <c r="K258" s="1">
        <f t="shared" ref="K258" si="741">(IF(F258="SELL",G258-H258,IF(F258="BUY",H258-G258)))*E258</f>
        <v>1840.0000000000005</v>
      </c>
      <c r="L258" s="43">
        <v>0</v>
      </c>
      <c r="M258" s="43">
        <v>0</v>
      </c>
      <c r="N258" s="1">
        <f t="shared" ref="N258" si="742">(L258+K258+M258)/E258</f>
        <v>4.6000000000000014</v>
      </c>
      <c r="O258" s="1">
        <f t="shared" ref="O258" si="743">N258*E258</f>
        <v>1840.0000000000005</v>
      </c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</row>
    <row r="259" spans="1:33" s="32" customFormat="1" ht="15" customHeight="1">
      <c r="A259" s="37">
        <v>44249</v>
      </c>
      <c r="B259" s="57" t="s">
        <v>69</v>
      </c>
      <c r="C259" s="20" t="s">
        <v>47</v>
      </c>
      <c r="D259" s="20">
        <v>222.5</v>
      </c>
      <c r="E259" s="38">
        <v>7000</v>
      </c>
      <c r="F259" s="20" t="s">
        <v>8</v>
      </c>
      <c r="G259" s="43">
        <v>3.6</v>
      </c>
      <c r="H259" s="43">
        <v>3.9</v>
      </c>
      <c r="I259" s="43">
        <v>0</v>
      </c>
      <c r="J259" s="43">
        <v>0</v>
      </c>
      <c r="K259" s="1">
        <f t="shared" ref="K259" si="744">(IF(F259="SELL",G259-H259,IF(F259="BUY",H259-G259)))*E259</f>
        <v>2099.9999999999986</v>
      </c>
      <c r="L259" s="43">
        <v>0</v>
      </c>
      <c r="M259" s="43">
        <v>0</v>
      </c>
      <c r="N259" s="1">
        <f t="shared" ref="N259" si="745">(L259+K259+M259)/E259</f>
        <v>0.29999999999999982</v>
      </c>
      <c r="O259" s="1">
        <f t="shared" ref="O259" si="746">N259*E259</f>
        <v>2099.9999999999986</v>
      </c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</row>
    <row r="260" spans="1:33" s="32" customFormat="1" ht="15" customHeight="1">
      <c r="A260" s="37">
        <v>44249</v>
      </c>
      <c r="B260" s="57" t="s">
        <v>21</v>
      </c>
      <c r="C260" s="20" t="s">
        <v>47</v>
      </c>
      <c r="D260" s="20">
        <v>405</v>
      </c>
      <c r="E260" s="38">
        <v>3000</v>
      </c>
      <c r="F260" s="20" t="s">
        <v>8</v>
      </c>
      <c r="G260" s="43">
        <v>5</v>
      </c>
      <c r="H260" s="43">
        <v>4</v>
      </c>
      <c r="I260" s="43">
        <v>0</v>
      </c>
      <c r="J260" s="43">
        <v>0</v>
      </c>
      <c r="K260" s="1">
        <f t="shared" ref="K260" si="747">(IF(F260="SELL",G260-H260,IF(F260="BUY",H260-G260)))*E260</f>
        <v>-3000</v>
      </c>
      <c r="L260" s="43">
        <v>0</v>
      </c>
      <c r="M260" s="43">
        <v>0</v>
      </c>
      <c r="N260" s="1">
        <f t="shared" ref="N260" si="748">(L260+K260+M260)/E260</f>
        <v>-1</v>
      </c>
      <c r="O260" s="1">
        <f t="shared" ref="O260" si="749">N260*E260</f>
        <v>-3000</v>
      </c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</row>
    <row r="261" spans="1:33" s="32" customFormat="1" ht="15" customHeight="1">
      <c r="A261" s="37">
        <v>44249</v>
      </c>
      <c r="B261" s="57" t="s">
        <v>103</v>
      </c>
      <c r="C261" s="20" t="s">
        <v>47</v>
      </c>
      <c r="D261" s="20">
        <v>120</v>
      </c>
      <c r="E261" s="38">
        <v>9000</v>
      </c>
      <c r="F261" s="20" t="s">
        <v>8</v>
      </c>
      <c r="G261" s="43">
        <v>4.2</v>
      </c>
      <c r="H261" s="43">
        <v>4.2</v>
      </c>
      <c r="I261" s="43">
        <v>0</v>
      </c>
      <c r="J261" s="43">
        <v>0</v>
      </c>
      <c r="K261" s="1">
        <f t="shared" ref="K261" si="750">(IF(F261="SELL",G261-H261,IF(F261="BUY",H261-G261)))*E261</f>
        <v>0</v>
      </c>
      <c r="L261" s="43">
        <v>0</v>
      </c>
      <c r="M261" s="43">
        <v>0</v>
      </c>
      <c r="N261" s="1">
        <f t="shared" ref="N261" si="751">(L261+K261+M261)/E261</f>
        <v>0</v>
      </c>
      <c r="O261" s="1">
        <f t="shared" ref="O261" si="752">N261*E261</f>
        <v>0</v>
      </c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</row>
    <row r="262" spans="1:33" s="32" customFormat="1" ht="15" customHeight="1">
      <c r="A262" s="37">
        <v>44249</v>
      </c>
      <c r="B262" s="57" t="s">
        <v>508</v>
      </c>
      <c r="C262" s="20" t="s">
        <v>47</v>
      </c>
      <c r="D262" s="20">
        <v>270</v>
      </c>
      <c r="E262" s="38">
        <v>2800</v>
      </c>
      <c r="F262" s="20" t="s">
        <v>8</v>
      </c>
      <c r="G262" s="43">
        <v>5.2</v>
      </c>
      <c r="H262" s="43">
        <v>6</v>
      </c>
      <c r="I262" s="43">
        <v>0</v>
      </c>
      <c r="J262" s="43">
        <v>0</v>
      </c>
      <c r="K262" s="1">
        <f t="shared" ref="K262" si="753">(IF(F262="SELL",G262-H262,IF(F262="BUY",H262-G262)))*E262</f>
        <v>2239.9999999999995</v>
      </c>
      <c r="L262" s="43">
        <v>0</v>
      </c>
      <c r="M262" s="43">
        <v>0</v>
      </c>
      <c r="N262" s="1">
        <f t="shared" ref="N262" si="754">(L262+K262+M262)/E262</f>
        <v>0.79999999999999982</v>
      </c>
      <c r="O262" s="1">
        <f t="shared" ref="O262" si="755">N262*E262</f>
        <v>2239.9999999999995</v>
      </c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</row>
    <row r="263" spans="1:33" s="32" customFormat="1" ht="15" customHeight="1">
      <c r="A263" s="37">
        <v>44246</v>
      </c>
      <c r="B263" s="57" t="s">
        <v>270</v>
      </c>
      <c r="C263" s="20" t="s">
        <v>46</v>
      </c>
      <c r="D263" s="20">
        <v>310</v>
      </c>
      <c r="E263" s="38">
        <v>5000</v>
      </c>
      <c r="F263" s="20" t="s">
        <v>8</v>
      </c>
      <c r="G263" s="43">
        <v>2.4</v>
      </c>
      <c r="H263" s="43">
        <v>3.4</v>
      </c>
      <c r="I263" s="43">
        <v>6.4</v>
      </c>
      <c r="J263" s="43">
        <v>0</v>
      </c>
      <c r="K263" s="1">
        <f t="shared" ref="K263" si="756">(IF(F263="SELL",G263-H263,IF(F263="BUY",H263-G263)))*E263</f>
        <v>5000</v>
      </c>
      <c r="L263" s="43">
        <f>E263*3</f>
        <v>15000</v>
      </c>
      <c r="M263" s="43">
        <v>0</v>
      </c>
      <c r="N263" s="1">
        <f t="shared" ref="N263" si="757">(L263+K263+M263)/E263</f>
        <v>4</v>
      </c>
      <c r="O263" s="1">
        <f t="shared" ref="O263" si="758">N263*E263</f>
        <v>20000</v>
      </c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</row>
    <row r="264" spans="1:33" s="32" customFormat="1" ht="15" customHeight="1">
      <c r="A264" s="37">
        <v>44246</v>
      </c>
      <c r="B264" s="57" t="s">
        <v>85</v>
      </c>
      <c r="C264" s="20" t="s">
        <v>46</v>
      </c>
      <c r="D264" s="20">
        <v>840</v>
      </c>
      <c r="E264" s="38">
        <v>1300</v>
      </c>
      <c r="F264" s="20" t="s">
        <v>8</v>
      </c>
      <c r="G264" s="43">
        <v>12.5</v>
      </c>
      <c r="H264" s="43">
        <v>17</v>
      </c>
      <c r="I264" s="43">
        <v>18</v>
      </c>
      <c r="J264" s="43">
        <v>0</v>
      </c>
      <c r="K264" s="1">
        <f t="shared" ref="K264" si="759">(IF(F264="SELL",G264-H264,IF(F264="BUY",H264-G264)))*E264</f>
        <v>5850</v>
      </c>
      <c r="L264" s="43">
        <f>E264*1</f>
        <v>1300</v>
      </c>
      <c r="M264" s="43">
        <v>0</v>
      </c>
      <c r="N264" s="1">
        <f t="shared" ref="N264" si="760">(L264+K264+M264)/E264</f>
        <v>5.5</v>
      </c>
      <c r="O264" s="1">
        <f t="shared" ref="O264" si="761">N264*E264</f>
        <v>7150</v>
      </c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</row>
    <row r="265" spans="1:33" s="32" customFormat="1" ht="15" customHeight="1">
      <c r="A265" s="37">
        <v>44246</v>
      </c>
      <c r="B265" s="57" t="s">
        <v>404</v>
      </c>
      <c r="C265" s="20" t="s">
        <v>46</v>
      </c>
      <c r="D265" s="20">
        <v>147.5</v>
      </c>
      <c r="E265" s="38">
        <v>6000</v>
      </c>
      <c r="F265" s="20" t="s">
        <v>8</v>
      </c>
      <c r="G265" s="43">
        <v>2.2999999999999998</v>
      </c>
      <c r="H265" s="43">
        <v>3.3</v>
      </c>
      <c r="I265" s="43">
        <v>5</v>
      </c>
      <c r="J265" s="43">
        <v>0</v>
      </c>
      <c r="K265" s="1">
        <f t="shared" ref="K265" si="762">(IF(F265="SELL",G265-H265,IF(F265="BUY",H265-G265)))*E265</f>
        <v>6000</v>
      </c>
      <c r="L265" s="43">
        <f>E265*1.7</f>
        <v>10200</v>
      </c>
      <c r="M265" s="43">
        <v>0</v>
      </c>
      <c r="N265" s="1">
        <f t="shared" ref="N265" si="763">(L265+K265+M265)/E265</f>
        <v>2.7</v>
      </c>
      <c r="O265" s="1">
        <f t="shared" ref="O265" si="764">N265*E265</f>
        <v>16200.000000000002</v>
      </c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</row>
    <row r="266" spans="1:33" s="32" customFormat="1" ht="15" customHeight="1">
      <c r="A266" s="37">
        <v>44246</v>
      </c>
      <c r="B266" s="57" t="s">
        <v>200</v>
      </c>
      <c r="C266" s="20" t="s">
        <v>47</v>
      </c>
      <c r="D266" s="20">
        <v>610</v>
      </c>
      <c r="E266" s="38">
        <v>2000</v>
      </c>
      <c r="F266" s="20" t="s">
        <v>8</v>
      </c>
      <c r="G266" s="43">
        <v>15.5</v>
      </c>
      <c r="H266" s="43">
        <v>17</v>
      </c>
      <c r="I266" s="43">
        <v>20</v>
      </c>
      <c r="J266" s="43">
        <v>0</v>
      </c>
      <c r="K266" s="1">
        <f t="shared" ref="K266" si="765">(IF(F266="SELL",G266-H266,IF(F266="BUY",H266-G266)))*E266</f>
        <v>3000</v>
      </c>
      <c r="L266" s="43">
        <f>E266*3</f>
        <v>6000</v>
      </c>
      <c r="M266" s="43">
        <v>0</v>
      </c>
      <c r="N266" s="1">
        <f t="shared" ref="N266" si="766">(L266+K266+M266)/E266</f>
        <v>4.5</v>
      </c>
      <c r="O266" s="1">
        <f t="shared" ref="O266" si="767">N266*E266</f>
        <v>9000</v>
      </c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</row>
    <row r="267" spans="1:33" s="32" customFormat="1" ht="15" customHeight="1">
      <c r="A267" s="37">
        <v>44246</v>
      </c>
      <c r="B267" s="57" t="s">
        <v>21</v>
      </c>
      <c r="C267" s="20" t="s">
        <v>46</v>
      </c>
      <c r="D267" s="20">
        <v>390</v>
      </c>
      <c r="E267" s="38">
        <v>3000</v>
      </c>
      <c r="F267" s="20" t="s">
        <v>8</v>
      </c>
      <c r="G267" s="43">
        <v>3.1</v>
      </c>
      <c r="H267" s="43">
        <v>3.65</v>
      </c>
      <c r="I267" s="43">
        <v>0</v>
      </c>
      <c r="J267" s="43">
        <v>0</v>
      </c>
      <c r="K267" s="1">
        <f t="shared" ref="K267" si="768">(IF(F267="SELL",G267-H267,IF(F267="BUY",H267-G267)))*E267</f>
        <v>1649.9999999999995</v>
      </c>
      <c r="L267" s="43">
        <v>0</v>
      </c>
      <c r="M267" s="43">
        <v>0</v>
      </c>
      <c r="N267" s="1">
        <f t="shared" ref="N267" si="769">(L267+K267+M267)/E267</f>
        <v>0.54999999999999982</v>
      </c>
      <c r="O267" s="1">
        <f t="shared" ref="O267" si="770">N267*E267</f>
        <v>1649.9999999999995</v>
      </c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</row>
    <row r="268" spans="1:33" s="32" customFormat="1" ht="15" customHeight="1">
      <c r="A268" s="37">
        <v>44245</v>
      </c>
      <c r="B268" s="57" t="s">
        <v>60</v>
      </c>
      <c r="C268" s="20" t="s">
        <v>46</v>
      </c>
      <c r="D268" s="20">
        <v>195</v>
      </c>
      <c r="E268" s="38">
        <v>6200</v>
      </c>
      <c r="F268" s="20" t="s">
        <v>8</v>
      </c>
      <c r="G268" s="43">
        <v>6.5</v>
      </c>
      <c r="H268" s="43">
        <v>6.9</v>
      </c>
      <c r="I268" s="43">
        <v>0</v>
      </c>
      <c r="J268" s="43">
        <v>0</v>
      </c>
      <c r="K268" s="1">
        <f t="shared" ref="K268" si="771">(IF(F268="SELL",G268-H268,IF(F268="BUY",H268-G268)))*E268</f>
        <v>2480.0000000000023</v>
      </c>
      <c r="L268" s="43">
        <v>0</v>
      </c>
      <c r="M268" s="43">
        <v>0</v>
      </c>
      <c r="N268" s="1">
        <f t="shared" ref="N268" si="772">(L268+K268+M268)/E268</f>
        <v>0.40000000000000036</v>
      </c>
      <c r="O268" s="1">
        <f t="shared" ref="O268" si="773">N268*E268</f>
        <v>2480.0000000000023</v>
      </c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</row>
    <row r="269" spans="1:33" s="32" customFormat="1" ht="15" customHeight="1">
      <c r="A269" s="37">
        <v>44245</v>
      </c>
      <c r="B269" s="57" t="s">
        <v>103</v>
      </c>
      <c r="C269" s="20" t="s">
        <v>46</v>
      </c>
      <c r="D269" s="20">
        <v>127.5</v>
      </c>
      <c r="E269" s="38">
        <v>9000</v>
      </c>
      <c r="F269" s="20" t="s">
        <v>8</v>
      </c>
      <c r="G269" s="43">
        <v>2.6</v>
      </c>
      <c r="H269" s="43">
        <v>2.95</v>
      </c>
      <c r="I269" s="43">
        <v>0</v>
      </c>
      <c r="J269" s="43">
        <v>0</v>
      </c>
      <c r="K269" s="1">
        <f t="shared" ref="K269" si="774">(IF(F269="SELL",G269-H269,IF(F269="BUY",H269-G269)))*E269</f>
        <v>3150.0000000000009</v>
      </c>
      <c r="L269" s="43">
        <v>0</v>
      </c>
      <c r="M269" s="43">
        <v>0</v>
      </c>
      <c r="N269" s="1">
        <f t="shared" ref="N269" si="775">(L269+K269+M269)/E269</f>
        <v>0.35000000000000009</v>
      </c>
      <c r="O269" s="1">
        <f t="shared" ref="O269" si="776">N269*E269</f>
        <v>3150.0000000000009</v>
      </c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</row>
    <row r="270" spans="1:33" s="32" customFormat="1" ht="15" customHeight="1">
      <c r="A270" s="37">
        <v>44245</v>
      </c>
      <c r="B270" s="57" t="s">
        <v>332</v>
      </c>
      <c r="C270" s="20" t="s">
        <v>47</v>
      </c>
      <c r="D270" s="20">
        <v>1020</v>
      </c>
      <c r="E270" s="38">
        <v>1200</v>
      </c>
      <c r="F270" s="20" t="s">
        <v>8</v>
      </c>
      <c r="G270" s="43">
        <v>15</v>
      </c>
      <c r="H270" s="43">
        <v>12</v>
      </c>
      <c r="I270" s="43">
        <v>0</v>
      </c>
      <c r="J270" s="43">
        <v>0</v>
      </c>
      <c r="K270" s="1">
        <f t="shared" ref="K270" si="777">(IF(F270="SELL",G270-H270,IF(F270="BUY",H270-G270)))*E270</f>
        <v>-3600</v>
      </c>
      <c r="L270" s="43">
        <v>0</v>
      </c>
      <c r="M270" s="43">
        <v>0</v>
      </c>
      <c r="N270" s="1">
        <f t="shared" ref="N270" si="778">(L270+K270+M270)/E270</f>
        <v>-3</v>
      </c>
      <c r="O270" s="1">
        <f t="shared" ref="O270" si="779">N270*E270</f>
        <v>-3600</v>
      </c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</row>
    <row r="271" spans="1:33" s="32" customFormat="1" ht="15" customHeight="1">
      <c r="A271" s="37">
        <v>44245</v>
      </c>
      <c r="B271" s="57" t="s">
        <v>75</v>
      </c>
      <c r="C271" s="20" t="s">
        <v>46</v>
      </c>
      <c r="D271" s="20">
        <v>3150</v>
      </c>
      <c r="E271" s="38">
        <v>500</v>
      </c>
      <c r="F271" s="20" t="s">
        <v>8</v>
      </c>
      <c r="G271" s="43">
        <v>75</v>
      </c>
      <c r="H271" s="43">
        <v>70</v>
      </c>
      <c r="I271" s="43">
        <v>0</v>
      </c>
      <c r="J271" s="43">
        <v>0</v>
      </c>
      <c r="K271" s="1">
        <f t="shared" ref="K271" si="780">(IF(F271="SELL",G271-H271,IF(F271="BUY",H271-G271)))*E271</f>
        <v>-2500</v>
      </c>
      <c r="L271" s="43">
        <v>0</v>
      </c>
      <c r="M271" s="43">
        <v>0</v>
      </c>
      <c r="N271" s="1">
        <f t="shared" ref="N271" si="781">(L271+K271+M271)/E271</f>
        <v>-5</v>
      </c>
      <c r="O271" s="1">
        <f t="shared" ref="O271" si="782">N271*E271</f>
        <v>-2500</v>
      </c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</row>
    <row r="272" spans="1:33" s="32" customFormat="1" ht="15" customHeight="1">
      <c r="A272" s="37">
        <v>44245</v>
      </c>
      <c r="B272" s="57" t="s">
        <v>21</v>
      </c>
      <c r="C272" s="20" t="s">
        <v>46</v>
      </c>
      <c r="D272" s="20">
        <v>390</v>
      </c>
      <c r="E272" s="38">
        <v>3000</v>
      </c>
      <c r="F272" s="20" t="s">
        <v>8</v>
      </c>
      <c r="G272" s="43">
        <v>3.1</v>
      </c>
      <c r="H272" s="43">
        <v>3.2</v>
      </c>
      <c r="I272" s="43">
        <v>0</v>
      </c>
      <c r="J272" s="43">
        <v>0</v>
      </c>
      <c r="K272" s="1">
        <f t="shared" ref="K272" si="783">(IF(F272="SELL",G272-H272,IF(F272="BUY",H272-G272)))*E272</f>
        <v>300.00000000000028</v>
      </c>
      <c r="L272" s="43">
        <v>0</v>
      </c>
      <c r="M272" s="43">
        <v>0</v>
      </c>
      <c r="N272" s="1">
        <f t="shared" ref="N272" si="784">(L272+K272+M272)/E272</f>
        <v>0.10000000000000009</v>
      </c>
      <c r="O272" s="1">
        <f t="shared" ref="O272" si="785">N272*E272</f>
        <v>300.00000000000028</v>
      </c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</row>
    <row r="273" spans="1:33" s="32" customFormat="1" ht="15" customHeight="1">
      <c r="A273" s="37">
        <v>44244</v>
      </c>
      <c r="B273" s="57" t="s">
        <v>270</v>
      </c>
      <c r="C273" s="20" t="s">
        <v>46</v>
      </c>
      <c r="D273" s="20">
        <v>310</v>
      </c>
      <c r="E273" s="38">
        <v>5000</v>
      </c>
      <c r="F273" s="20" t="s">
        <v>8</v>
      </c>
      <c r="G273" s="43">
        <v>5.0999999999999996</v>
      </c>
      <c r="H273" s="43">
        <v>5.0999999999999996</v>
      </c>
      <c r="I273" s="43">
        <v>0</v>
      </c>
      <c r="J273" s="43">
        <v>0</v>
      </c>
      <c r="K273" s="1">
        <f t="shared" ref="K273" si="786">(IF(F273="SELL",G273-H273,IF(F273="BUY",H273-G273)))*E273</f>
        <v>0</v>
      </c>
      <c r="L273" s="43">
        <v>0</v>
      </c>
      <c r="M273" s="43">
        <v>0</v>
      </c>
      <c r="N273" s="1">
        <f t="shared" ref="N273" si="787">(L273+K273+M273)/E273</f>
        <v>0</v>
      </c>
      <c r="O273" s="1">
        <f t="shared" ref="O273" si="788">N273*E273</f>
        <v>0</v>
      </c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</row>
    <row r="274" spans="1:33" s="32" customFormat="1" ht="15" customHeight="1">
      <c r="A274" s="37">
        <v>44244</v>
      </c>
      <c r="B274" s="57" t="s">
        <v>24</v>
      </c>
      <c r="C274" s="20" t="s">
        <v>47</v>
      </c>
      <c r="D274" s="20">
        <v>355</v>
      </c>
      <c r="E274" s="38">
        <v>5700</v>
      </c>
      <c r="F274" s="20" t="s">
        <v>8</v>
      </c>
      <c r="G274" s="43">
        <v>7.1</v>
      </c>
      <c r="H274" s="43">
        <v>6.5</v>
      </c>
      <c r="I274" s="43">
        <v>0</v>
      </c>
      <c r="J274" s="43">
        <v>0</v>
      </c>
      <c r="K274" s="1">
        <f t="shared" ref="K274" si="789">(IF(F274="SELL",G274-H274,IF(F274="BUY",H274-G274)))*E274</f>
        <v>-3419.9999999999982</v>
      </c>
      <c r="L274" s="43">
        <v>0</v>
      </c>
      <c r="M274" s="43">
        <v>0</v>
      </c>
      <c r="N274" s="1">
        <f t="shared" ref="N274" si="790">(L274+K274+M274)/E274</f>
        <v>-0.59999999999999964</v>
      </c>
      <c r="O274" s="1">
        <f t="shared" ref="O274" si="791">N274*E274</f>
        <v>-3419.9999999999982</v>
      </c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</row>
    <row r="275" spans="1:33" s="32" customFormat="1" ht="15" customHeight="1">
      <c r="A275" s="37">
        <v>44244</v>
      </c>
      <c r="B275" s="57" t="s">
        <v>58</v>
      </c>
      <c r="C275" s="20" t="s">
        <v>47</v>
      </c>
      <c r="D275" s="20">
        <v>1050</v>
      </c>
      <c r="E275" s="38">
        <v>1000</v>
      </c>
      <c r="F275" s="20" t="s">
        <v>8</v>
      </c>
      <c r="G275" s="43">
        <v>22</v>
      </c>
      <c r="H275" s="43">
        <v>18</v>
      </c>
      <c r="I275" s="43">
        <v>0</v>
      </c>
      <c r="J275" s="43">
        <v>0</v>
      </c>
      <c r="K275" s="1">
        <f t="shared" ref="K275" si="792">(IF(F275="SELL",G275-H275,IF(F275="BUY",H275-G275)))*E275</f>
        <v>-4000</v>
      </c>
      <c r="L275" s="43">
        <v>0</v>
      </c>
      <c r="M275" s="43">
        <v>0</v>
      </c>
      <c r="N275" s="1">
        <f t="shared" ref="N275" si="793">(L275+K275+M275)/E275</f>
        <v>-4</v>
      </c>
      <c r="O275" s="1">
        <f t="shared" ref="O275" si="794">N275*E275</f>
        <v>-4000</v>
      </c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</row>
    <row r="276" spans="1:33" s="32" customFormat="1" ht="15" customHeight="1">
      <c r="A276" s="37">
        <v>44244</v>
      </c>
      <c r="B276" s="57" t="s">
        <v>367</v>
      </c>
      <c r="C276" s="20" t="s">
        <v>47</v>
      </c>
      <c r="D276" s="20">
        <v>240</v>
      </c>
      <c r="E276" s="38">
        <v>5000</v>
      </c>
      <c r="F276" s="20" t="s">
        <v>8</v>
      </c>
      <c r="G276" s="43">
        <v>7.4</v>
      </c>
      <c r="H276" s="43">
        <v>8.5</v>
      </c>
      <c r="I276" s="43">
        <v>10</v>
      </c>
      <c r="J276" s="43">
        <v>0</v>
      </c>
      <c r="K276" s="1">
        <f t="shared" ref="K276" si="795">(IF(F276="SELL",G276-H276,IF(F276="BUY",H276-G276)))*E276</f>
        <v>5499.9999999999982</v>
      </c>
      <c r="L276" s="43">
        <f>E276*1.5</f>
        <v>7500</v>
      </c>
      <c r="M276" s="43">
        <v>0</v>
      </c>
      <c r="N276" s="1">
        <f t="shared" ref="N276" si="796">(L276+K276+M276)/E276</f>
        <v>2.5999999999999996</v>
      </c>
      <c r="O276" s="1">
        <f t="shared" ref="O276" si="797">N276*E276</f>
        <v>12999.999999999998</v>
      </c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</row>
    <row r="277" spans="1:33" s="32" customFormat="1" ht="15" customHeight="1">
      <c r="A277" s="37">
        <v>44243</v>
      </c>
      <c r="B277" s="57" t="s">
        <v>103</v>
      </c>
      <c r="C277" s="20" t="s">
        <v>46</v>
      </c>
      <c r="D277" s="20">
        <v>127.5</v>
      </c>
      <c r="E277" s="38">
        <v>9000</v>
      </c>
      <c r="F277" s="20" t="s">
        <v>8</v>
      </c>
      <c r="G277" s="43">
        <v>3</v>
      </c>
      <c r="H277" s="43">
        <v>3.5</v>
      </c>
      <c r="I277" s="43">
        <v>0</v>
      </c>
      <c r="J277" s="43">
        <v>0</v>
      </c>
      <c r="K277" s="1">
        <f t="shared" ref="K277" si="798">(IF(F277="SELL",G277-H277,IF(F277="BUY",H277-G277)))*E277</f>
        <v>4500</v>
      </c>
      <c r="L277" s="43">
        <v>0</v>
      </c>
      <c r="M277" s="43">
        <v>0</v>
      </c>
      <c r="N277" s="1">
        <f t="shared" ref="N277" si="799">(L277+K277+M277)/E277</f>
        <v>0.5</v>
      </c>
      <c r="O277" s="1">
        <f t="shared" ref="O277" si="800">N277*E277</f>
        <v>4500</v>
      </c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</row>
    <row r="278" spans="1:33" s="32" customFormat="1" ht="15" customHeight="1">
      <c r="A278" s="37">
        <v>44243</v>
      </c>
      <c r="B278" s="57" t="s">
        <v>22</v>
      </c>
      <c r="C278" s="20" t="s">
        <v>47</v>
      </c>
      <c r="D278" s="20">
        <v>320</v>
      </c>
      <c r="E278" s="38">
        <v>3000</v>
      </c>
      <c r="F278" s="20" t="s">
        <v>8</v>
      </c>
      <c r="G278" s="43">
        <v>13</v>
      </c>
      <c r="H278" s="43">
        <v>12</v>
      </c>
      <c r="I278" s="43">
        <v>0</v>
      </c>
      <c r="J278" s="43">
        <v>0</v>
      </c>
      <c r="K278" s="1">
        <f t="shared" ref="K278" si="801">(IF(F278="SELL",G278-H278,IF(F278="BUY",H278-G278)))*E278</f>
        <v>-3000</v>
      </c>
      <c r="L278" s="43">
        <v>0</v>
      </c>
      <c r="M278" s="43">
        <v>0</v>
      </c>
      <c r="N278" s="1">
        <f t="shared" ref="N278" si="802">(L278+K278+M278)/E278</f>
        <v>-1</v>
      </c>
      <c r="O278" s="1">
        <f t="shared" ref="O278" si="803">N278*E278</f>
        <v>-3000</v>
      </c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</row>
    <row r="279" spans="1:33" s="32" customFormat="1" ht="15" customHeight="1">
      <c r="A279" s="37">
        <v>44243</v>
      </c>
      <c r="B279" s="57" t="s">
        <v>28</v>
      </c>
      <c r="C279" s="20" t="s">
        <v>47</v>
      </c>
      <c r="D279" s="20">
        <v>610</v>
      </c>
      <c r="E279" s="38">
        <v>1851</v>
      </c>
      <c r="F279" s="20" t="s">
        <v>8</v>
      </c>
      <c r="G279" s="43">
        <v>15</v>
      </c>
      <c r="H279" s="43">
        <v>13.5</v>
      </c>
      <c r="I279" s="43">
        <v>0</v>
      </c>
      <c r="J279" s="43">
        <v>0</v>
      </c>
      <c r="K279" s="1">
        <f t="shared" ref="K279" si="804">(IF(F279="SELL",G279-H279,IF(F279="BUY",H279-G279)))*E279</f>
        <v>-2776.5</v>
      </c>
      <c r="L279" s="43">
        <v>0</v>
      </c>
      <c r="M279" s="43">
        <v>0</v>
      </c>
      <c r="N279" s="1">
        <f t="shared" ref="N279" si="805">(L279+K279+M279)/E279</f>
        <v>-1.5</v>
      </c>
      <c r="O279" s="1">
        <f t="shared" ref="O279" si="806">N279*E279</f>
        <v>-2776.5</v>
      </c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</row>
    <row r="280" spans="1:33" s="32" customFormat="1" ht="15" customHeight="1">
      <c r="A280" s="37">
        <v>44243</v>
      </c>
      <c r="B280" s="57" t="s">
        <v>357</v>
      </c>
      <c r="C280" s="20" t="s">
        <v>47</v>
      </c>
      <c r="D280" s="20">
        <v>1740</v>
      </c>
      <c r="E280" s="38">
        <v>800</v>
      </c>
      <c r="F280" s="20" t="s">
        <v>8</v>
      </c>
      <c r="G280" s="43">
        <v>40</v>
      </c>
      <c r="H280" s="43">
        <v>36</v>
      </c>
      <c r="I280" s="43">
        <v>0</v>
      </c>
      <c r="J280" s="43">
        <v>0</v>
      </c>
      <c r="K280" s="1">
        <f t="shared" ref="K280" si="807">(IF(F280="SELL",G280-H280,IF(F280="BUY",H280-G280)))*E280</f>
        <v>-3200</v>
      </c>
      <c r="L280" s="43">
        <v>0</v>
      </c>
      <c r="M280" s="43">
        <v>0</v>
      </c>
      <c r="N280" s="1">
        <f t="shared" ref="N280" si="808">(L280+K280+M280)/E280</f>
        <v>-4</v>
      </c>
      <c r="O280" s="1">
        <f t="shared" ref="O280" si="809">N280*E280</f>
        <v>-3200</v>
      </c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</row>
    <row r="281" spans="1:33" s="32" customFormat="1" ht="15" customHeight="1">
      <c r="A281" s="37">
        <v>44242</v>
      </c>
      <c r="B281" s="57" t="s">
        <v>103</v>
      </c>
      <c r="C281" s="20" t="s">
        <v>47</v>
      </c>
      <c r="D281" s="20">
        <v>127.5</v>
      </c>
      <c r="E281" s="38">
        <v>9000</v>
      </c>
      <c r="F281" s="20" t="s">
        <v>8</v>
      </c>
      <c r="G281" s="43">
        <v>5.9</v>
      </c>
      <c r="H281" s="43">
        <v>6.4</v>
      </c>
      <c r="I281" s="43">
        <v>7.1</v>
      </c>
      <c r="J281" s="43">
        <v>0</v>
      </c>
      <c r="K281" s="1">
        <f t="shared" ref="K281" si="810">(IF(F281="SELL",G281-H281,IF(F281="BUY",H281-G281)))*E281</f>
        <v>4500</v>
      </c>
      <c r="L281" s="43">
        <f>E281*0.7</f>
        <v>6300</v>
      </c>
      <c r="M281" s="43">
        <v>0</v>
      </c>
      <c r="N281" s="1">
        <f t="shared" ref="N281" si="811">(L281+K281+M281)/E281</f>
        <v>1.2</v>
      </c>
      <c r="O281" s="1">
        <f t="shared" ref="O281" si="812">N281*E281</f>
        <v>10800</v>
      </c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</row>
    <row r="282" spans="1:33" s="32" customFormat="1" ht="15" customHeight="1">
      <c r="A282" s="37">
        <v>44242</v>
      </c>
      <c r="B282" s="57" t="s">
        <v>404</v>
      </c>
      <c r="C282" s="20" t="s">
        <v>47</v>
      </c>
      <c r="D282" s="20">
        <v>157.5</v>
      </c>
      <c r="E282" s="38">
        <v>6000</v>
      </c>
      <c r="F282" s="20" t="s">
        <v>8</v>
      </c>
      <c r="G282" s="43">
        <v>3.1</v>
      </c>
      <c r="H282" s="43">
        <v>3.1</v>
      </c>
      <c r="I282" s="43">
        <v>0</v>
      </c>
      <c r="J282" s="43">
        <v>0</v>
      </c>
      <c r="K282" s="1">
        <f t="shared" ref="K282" si="813">(IF(F282="SELL",G282-H282,IF(F282="BUY",H282-G282)))*E282</f>
        <v>0</v>
      </c>
      <c r="L282" s="43">
        <v>0</v>
      </c>
      <c r="M282" s="43">
        <v>0</v>
      </c>
      <c r="N282" s="1">
        <f t="shared" ref="N282" si="814">(L282+K282+M282)/E282</f>
        <v>0</v>
      </c>
      <c r="O282" s="1">
        <f t="shared" ref="O282" si="815">N282*E282</f>
        <v>0</v>
      </c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</row>
    <row r="283" spans="1:33" s="32" customFormat="1" ht="15" customHeight="1">
      <c r="A283" s="37">
        <v>44242</v>
      </c>
      <c r="B283" s="57" t="s">
        <v>69</v>
      </c>
      <c r="C283" s="20" t="s">
        <v>47</v>
      </c>
      <c r="D283" s="20">
        <v>215</v>
      </c>
      <c r="E283" s="38">
        <v>7000</v>
      </c>
      <c r="F283" s="20" t="s">
        <v>8</v>
      </c>
      <c r="G283" s="43">
        <v>8</v>
      </c>
      <c r="H283" s="43">
        <v>8.5</v>
      </c>
      <c r="I283" s="43">
        <v>10</v>
      </c>
      <c r="J283" s="43">
        <v>0</v>
      </c>
      <c r="K283" s="1">
        <f t="shared" ref="K283" si="816">(IF(F283="SELL",G283-H283,IF(F283="BUY",H283-G283)))*E283</f>
        <v>3500</v>
      </c>
      <c r="L283" s="43">
        <f>E283*1.5</f>
        <v>10500</v>
      </c>
      <c r="M283" s="43">
        <v>0</v>
      </c>
      <c r="N283" s="1">
        <f t="shared" ref="N283" si="817">(L283+K283+M283)/E283</f>
        <v>2</v>
      </c>
      <c r="O283" s="1">
        <f t="shared" ref="O283" si="818">N283*E283</f>
        <v>14000</v>
      </c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</row>
    <row r="284" spans="1:33" s="32" customFormat="1" ht="15" customHeight="1">
      <c r="A284" s="37">
        <v>44239</v>
      </c>
      <c r="B284" s="57" t="s">
        <v>176</v>
      </c>
      <c r="C284" s="20" t="s">
        <v>46</v>
      </c>
      <c r="D284" s="20">
        <v>1540</v>
      </c>
      <c r="E284" s="38">
        <v>550</v>
      </c>
      <c r="F284" s="20" t="s">
        <v>8</v>
      </c>
      <c r="G284" s="43">
        <v>39.5</v>
      </c>
      <c r="H284" s="43">
        <v>45</v>
      </c>
      <c r="I284" s="43">
        <v>0</v>
      </c>
      <c r="J284" s="43">
        <v>0</v>
      </c>
      <c r="K284" s="1">
        <f t="shared" ref="K284" si="819">(IF(F284="SELL",G284-H284,IF(F284="BUY",H284-G284)))*E284</f>
        <v>3025</v>
      </c>
      <c r="L284" s="43">
        <v>0</v>
      </c>
      <c r="M284" s="43">
        <v>0</v>
      </c>
      <c r="N284" s="1">
        <f t="shared" ref="N284" si="820">(L284+K284+M284)/E284</f>
        <v>5.5</v>
      </c>
      <c r="O284" s="1">
        <f t="shared" ref="O284" si="821">N284*E284</f>
        <v>3025</v>
      </c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</row>
    <row r="285" spans="1:33" s="32" customFormat="1" ht="15" customHeight="1">
      <c r="A285" s="37">
        <v>44239</v>
      </c>
      <c r="B285" s="57" t="s">
        <v>326</v>
      </c>
      <c r="C285" s="20" t="s">
        <v>46</v>
      </c>
      <c r="D285" s="20">
        <v>212.5</v>
      </c>
      <c r="E285" s="38">
        <v>4000</v>
      </c>
      <c r="F285" s="20" t="s">
        <v>8</v>
      </c>
      <c r="G285" s="43">
        <v>5.5</v>
      </c>
      <c r="H285" s="43">
        <v>5.75</v>
      </c>
      <c r="I285" s="43">
        <v>0</v>
      </c>
      <c r="J285" s="43">
        <v>0</v>
      </c>
      <c r="K285" s="1">
        <f t="shared" ref="K285" si="822">(IF(F285="SELL",G285-H285,IF(F285="BUY",H285-G285)))*E285</f>
        <v>1000</v>
      </c>
      <c r="L285" s="43">
        <v>0</v>
      </c>
      <c r="M285" s="43">
        <v>0</v>
      </c>
      <c r="N285" s="1">
        <f t="shared" ref="N285" si="823">(L285+K285+M285)/E285</f>
        <v>0.25</v>
      </c>
      <c r="O285" s="1">
        <f t="shared" ref="O285" si="824">N285*E285</f>
        <v>1000</v>
      </c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</row>
    <row r="286" spans="1:33" s="32" customFormat="1" ht="15" customHeight="1">
      <c r="A286" s="37">
        <v>44239</v>
      </c>
      <c r="B286" s="57" t="s">
        <v>433</v>
      </c>
      <c r="C286" s="20" t="s">
        <v>46</v>
      </c>
      <c r="D286" s="20">
        <v>95</v>
      </c>
      <c r="E286" s="38">
        <v>5700</v>
      </c>
      <c r="F286" s="20" t="s">
        <v>8</v>
      </c>
      <c r="G286" s="43">
        <v>2.15</v>
      </c>
      <c r="H286" s="43">
        <v>2.15</v>
      </c>
      <c r="I286" s="43">
        <v>0</v>
      </c>
      <c r="J286" s="43">
        <v>0</v>
      </c>
      <c r="K286" s="1">
        <f t="shared" ref="K286" si="825">(IF(F286="SELL",G286-H286,IF(F286="BUY",H286-G286)))*E286</f>
        <v>0</v>
      </c>
      <c r="L286" s="43">
        <v>0</v>
      </c>
      <c r="M286" s="43">
        <v>0</v>
      </c>
      <c r="N286" s="1">
        <f t="shared" ref="N286" si="826">(L286+K286+M286)/E286</f>
        <v>0</v>
      </c>
      <c r="O286" s="1">
        <f t="shared" ref="O286" si="827">N286*E286</f>
        <v>0</v>
      </c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</row>
    <row r="287" spans="1:33" s="32" customFormat="1" ht="15" customHeight="1">
      <c r="A287" s="37">
        <v>44239</v>
      </c>
      <c r="B287" s="57" t="s">
        <v>413</v>
      </c>
      <c r="C287" s="20" t="s">
        <v>47</v>
      </c>
      <c r="D287" s="20">
        <v>255</v>
      </c>
      <c r="E287" s="38">
        <v>3100</v>
      </c>
      <c r="F287" s="20" t="s">
        <v>8</v>
      </c>
      <c r="G287" s="43">
        <v>10.1</v>
      </c>
      <c r="H287" s="43">
        <v>10.7</v>
      </c>
      <c r="I287" s="43">
        <v>0</v>
      </c>
      <c r="J287" s="43">
        <v>0</v>
      </c>
      <c r="K287" s="1">
        <f t="shared" ref="K287" si="828">(IF(F287="SELL",G287-H287,IF(F287="BUY",H287-G287)))*E287</f>
        <v>1859.9999999999989</v>
      </c>
      <c r="L287" s="43">
        <v>0</v>
      </c>
      <c r="M287" s="43">
        <v>0</v>
      </c>
      <c r="N287" s="1">
        <f t="shared" ref="N287" si="829">(L287+K287+M287)/E287</f>
        <v>0.59999999999999964</v>
      </c>
      <c r="O287" s="1">
        <f t="shared" ref="O287" si="830">N287*E287</f>
        <v>1859.9999999999989</v>
      </c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</row>
    <row r="288" spans="1:33" s="32" customFormat="1" ht="15" customHeight="1">
      <c r="A288" s="37">
        <v>44239</v>
      </c>
      <c r="B288" s="57" t="s">
        <v>367</v>
      </c>
      <c r="C288" s="20" t="s">
        <v>46</v>
      </c>
      <c r="D288" s="20">
        <v>230</v>
      </c>
      <c r="E288" s="38">
        <v>5000</v>
      </c>
      <c r="F288" s="20" t="s">
        <v>8</v>
      </c>
      <c r="G288" s="43">
        <v>7</v>
      </c>
      <c r="H288" s="43">
        <v>6.5</v>
      </c>
      <c r="I288" s="43">
        <v>0</v>
      </c>
      <c r="J288" s="43">
        <v>0</v>
      </c>
      <c r="K288" s="1">
        <f t="shared" ref="K288" si="831">(IF(F288="SELL",G288-H288,IF(F288="BUY",H288-G288)))*E288</f>
        <v>-2500</v>
      </c>
      <c r="L288" s="43">
        <v>0</v>
      </c>
      <c r="M288" s="43">
        <v>0</v>
      </c>
      <c r="N288" s="1">
        <f t="shared" ref="N288" si="832">(L288+K288+M288)/E288</f>
        <v>-0.5</v>
      </c>
      <c r="O288" s="1">
        <f t="shared" ref="O288" si="833">N288*E288</f>
        <v>-2500</v>
      </c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</row>
    <row r="289" spans="1:33" s="32" customFormat="1" ht="15" customHeight="1">
      <c r="A289" s="37">
        <v>44238</v>
      </c>
      <c r="B289" s="57" t="s">
        <v>69</v>
      </c>
      <c r="C289" s="20" t="s">
        <v>47</v>
      </c>
      <c r="D289" s="20">
        <v>190</v>
      </c>
      <c r="E289" s="38">
        <v>7000</v>
      </c>
      <c r="F289" s="20" t="s">
        <v>8</v>
      </c>
      <c r="G289" s="43">
        <v>7</v>
      </c>
      <c r="H289" s="43">
        <v>7.7</v>
      </c>
      <c r="I289" s="43">
        <v>0</v>
      </c>
      <c r="J289" s="43">
        <v>0</v>
      </c>
      <c r="K289" s="1">
        <f t="shared" ref="K289" si="834">(IF(F289="SELL",G289-H289,IF(F289="BUY",H289-G289)))*E289</f>
        <v>4900.0000000000009</v>
      </c>
      <c r="L289" s="43">
        <v>0</v>
      </c>
      <c r="M289" s="43">
        <v>0</v>
      </c>
      <c r="N289" s="1">
        <f t="shared" ref="N289" si="835">(L289+K289+M289)/E289</f>
        <v>0.70000000000000018</v>
      </c>
      <c r="O289" s="1">
        <f t="shared" ref="O289" si="836">N289*E289</f>
        <v>4900.0000000000009</v>
      </c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</row>
    <row r="290" spans="1:33" s="32" customFormat="1" ht="15" customHeight="1">
      <c r="A290" s="37">
        <v>44238</v>
      </c>
      <c r="B290" s="57" t="s">
        <v>109</v>
      </c>
      <c r="C290" s="20" t="s">
        <v>47</v>
      </c>
      <c r="D290" s="20">
        <v>440</v>
      </c>
      <c r="E290" s="38">
        <v>3200</v>
      </c>
      <c r="F290" s="20" t="s">
        <v>8</v>
      </c>
      <c r="G290" s="43">
        <v>11.2</v>
      </c>
      <c r="H290" s="43">
        <v>12.2</v>
      </c>
      <c r="I290" s="43">
        <v>13.25</v>
      </c>
      <c r="J290" s="43">
        <v>0</v>
      </c>
      <c r="K290" s="1">
        <f t="shared" ref="K290" si="837">(IF(F290="SELL",G290-H290,IF(F290="BUY",H290-G290)))*E290</f>
        <v>3200</v>
      </c>
      <c r="L290" s="43">
        <f>E290*1.05</f>
        <v>3360</v>
      </c>
      <c r="M290" s="43">
        <v>0</v>
      </c>
      <c r="N290" s="1">
        <f t="shared" ref="N290" si="838">(L290+K290+M290)/E290</f>
        <v>2.0499999999999998</v>
      </c>
      <c r="O290" s="1">
        <f t="shared" ref="O290" si="839">N290*E290</f>
        <v>6559.9999999999991</v>
      </c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</row>
    <row r="291" spans="1:33" s="32" customFormat="1" ht="15" customHeight="1">
      <c r="A291" s="37">
        <v>44237</v>
      </c>
      <c r="B291" s="57" t="s">
        <v>69</v>
      </c>
      <c r="C291" s="20" t="s">
        <v>47</v>
      </c>
      <c r="D291" s="20">
        <v>162.5</v>
      </c>
      <c r="E291" s="38">
        <v>7000</v>
      </c>
      <c r="F291" s="20" t="s">
        <v>8</v>
      </c>
      <c r="G291" s="43">
        <v>12.5</v>
      </c>
      <c r="H291" s="43">
        <v>13</v>
      </c>
      <c r="I291" s="43">
        <v>15</v>
      </c>
      <c r="J291" s="43">
        <v>0</v>
      </c>
      <c r="K291" s="1">
        <f t="shared" ref="K291" si="840">(IF(F291="SELL",G291-H291,IF(F291="BUY",H291-G291)))*E291</f>
        <v>3500</v>
      </c>
      <c r="L291" s="43">
        <f>E291*2</f>
        <v>14000</v>
      </c>
      <c r="M291" s="43">
        <v>0</v>
      </c>
      <c r="N291" s="1">
        <f t="shared" ref="N291" si="841">(L291+K291+M291)/E291</f>
        <v>2.5</v>
      </c>
      <c r="O291" s="1">
        <f t="shared" ref="O291" si="842">N291*E291</f>
        <v>17500</v>
      </c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</row>
    <row r="292" spans="1:33" s="32" customFormat="1" ht="15" customHeight="1">
      <c r="A292" s="37">
        <v>44237</v>
      </c>
      <c r="B292" s="57" t="s">
        <v>493</v>
      </c>
      <c r="C292" s="20" t="s">
        <v>47</v>
      </c>
      <c r="D292" s="20">
        <v>1120</v>
      </c>
      <c r="E292" s="38">
        <v>600</v>
      </c>
      <c r="F292" s="20" t="s">
        <v>8</v>
      </c>
      <c r="G292" s="43">
        <v>40</v>
      </c>
      <c r="H292" s="43">
        <v>45</v>
      </c>
      <c r="I292" s="43">
        <v>48</v>
      </c>
      <c r="J292" s="43">
        <v>0</v>
      </c>
      <c r="K292" s="1">
        <f t="shared" ref="K292" si="843">(IF(F292="SELL",G292-H292,IF(F292="BUY",H292-G292)))*E292</f>
        <v>3000</v>
      </c>
      <c r="L292" s="43">
        <f>E292*3</f>
        <v>1800</v>
      </c>
      <c r="M292" s="43">
        <v>0</v>
      </c>
      <c r="N292" s="1">
        <f t="shared" ref="N292" si="844">(L292+K292+M292)/E292</f>
        <v>8</v>
      </c>
      <c r="O292" s="1">
        <f t="shared" ref="O292" si="845">N292*E292</f>
        <v>4800</v>
      </c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</row>
    <row r="293" spans="1:33" s="32" customFormat="1" ht="15" customHeight="1">
      <c r="A293" s="37">
        <v>44237</v>
      </c>
      <c r="B293" s="57" t="s">
        <v>427</v>
      </c>
      <c r="C293" s="20" t="s">
        <v>47</v>
      </c>
      <c r="D293" s="20">
        <v>1600</v>
      </c>
      <c r="E293" s="38">
        <v>407</v>
      </c>
      <c r="F293" s="20" t="s">
        <v>8</v>
      </c>
      <c r="G293" s="43">
        <v>36.549999999999997</v>
      </c>
      <c r="H293" s="43">
        <v>43.85</v>
      </c>
      <c r="I293" s="43">
        <v>0</v>
      </c>
      <c r="J293" s="43">
        <v>0</v>
      </c>
      <c r="K293" s="1">
        <f t="shared" ref="K293" si="846">(IF(F293="SELL",G293-H293,IF(F293="BUY",H293-G293)))*E293</f>
        <v>2971.1000000000017</v>
      </c>
      <c r="L293" s="43">
        <v>0</v>
      </c>
      <c r="M293" s="43">
        <v>0</v>
      </c>
      <c r="N293" s="1">
        <f t="shared" ref="N293" si="847">(L293+K293+M293)/E293</f>
        <v>7.3000000000000043</v>
      </c>
      <c r="O293" s="1">
        <f t="shared" ref="O293" si="848">N293*E293</f>
        <v>2971.1000000000017</v>
      </c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</row>
    <row r="294" spans="1:33" s="32" customFormat="1" ht="15" customHeight="1">
      <c r="A294" s="37">
        <v>44237</v>
      </c>
      <c r="B294" s="57" t="s">
        <v>300</v>
      </c>
      <c r="C294" s="20" t="s">
        <v>46</v>
      </c>
      <c r="D294" s="20">
        <v>175</v>
      </c>
      <c r="E294" s="38">
        <v>4000</v>
      </c>
      <c r="F294" s="20" t="s">
        <v>8</v>
      </c>
      <c r="G294" s="43">
        <v>3.2</v>
      </c>
      <c r="H294" s="43">
        <v>3.2</v>
      </c>
      <c r="I294" s="43">
        <v>0</v>
      </c>
      <c r="J294" s="43">
        <v>0</v>
      </c>
      <c r="K294" s="1">
        <f t="shared" ref="K294" si="849">(IF(F294="SELL",G294-H294,IF(F294="BUY",H294-G294)))*E294</f>
        <v>0</v>
      </c>
      <c r="L294" s="43">
        <v>0</v>
      </c>
      <c r="M294" s="43">
        <v>0</v>
      </c>
      <c r="N294" s="1">
        <f t="shared" ref="N294" si="850">(L294+K294+M294)/E294</f>
        <v>0</v>
      </c>
      <c r="O294" s="1">
        <f t="shared" ref="O294" si="851">N294*E294</f>
        <v>0</v>
      </c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</row>
    <row r="295" spans="1:33" s="32" customFormat="1" ht="15" customHeight="1">
      <c r="A295" s="37">
        <v>44236</v>
      </c>
      <c r="B295" s="57" t="s">
        <v>13</v>
      </c>
      <c r="C295" s="20" t="s">
        <v>47</v>
      </c>
      <c r="D295" s="20">
        <v>1000</v>
      </c>
      <c r="E295" s="38">
        <v>700</v>
      </c>
      <c r="F295" s="20" t="s">
        <v>8</v>
      </c>
      <c r="G295" s="43">
        <v>22</v>
      </c>
      <c r="H295" s="43">
        <v>26</v>
      </c>
      <c r="I295" s="43">
        <v>0</v>
      </c>
      <c r="J295" s="43">
        <v>0</v>
      </c>
      <c r="K295" s="1">
        <f t="shared" ref="K295" si="852">(IF(F295="SELL",G295-H295,IF(F295="BUY",H295-G295)))*E295</f>
        <v>2800</v>
      </c>
      <c r="L295" s="43">
        <v>0</v>
      </c>
      <c r="M295" s="43">
        <v>0</v>
      </c>
      <c r="N295" s="1">
        <f t="shared" ref="N295" si="853">(L295+K295+M295)/E295</f>
        <v>4</v>
      </c>
      <c r="O295" s="1">
        <f t="shared" ref="O295" si="854">N295*E295</f>
        <v>2800</v>
      </c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</row>
    <row r="296" spans="1:33" s="32" customFormat="1" ht="15" customHeight="1">
      <c r="A296" s="37">
        <v>44236</v>
      </c>
      <c r="B296" s="57" t="s">
        <v>26</v>
      </c>
      <c r="C296" s="20" t="s">
        <v>47</v>
      </c>
      <c r="D296" s="20">
        <v>790</v>
      </c>
      <c r="E296" s="38">
        <v>1700</v>
      </c>
      <c r="F296" s="20" t="s">
        <v>8</v>
      </c>
      <c r="G296" s="43">
        <v>12.5</v>
      </c>
      <c r="H296" s="43">
        <v>10.5</v>
      </c>
      <c r="I296" s="43">
        <v>0</v>
      </c>
      <c r="J296" s="43">
        <v>0</v>
      </c>
      <c r="K296" s="1">
        <f t="shared" ref="K296" si="855">(IF(F296="SELL",G296-H296,IF(F296="BUY",H296-G296)))*E296</f>
        <v>-3400</v>
      </c>
      <c r="L296" s="43">
        <v>0</v>
      </c>
      <c r="M296" s="43">
        <v>0</v>
      </c>
      <c r="N296" s="1">
        <f t="shared" ref="N296" si="856">(L296+K296+M296)/E296</f>
        <v>-2</v>
      </c>
      <c r="O296" s="1">
        <f t="shared" ref="O296" si="857">N296*E296</f>
        <v>-3400</v>
      </c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</row>
    <row r="297" spans="1:33" s="32" customFormat="1" ht="15" customHeight="1">
      <c r="A297" s="37">
        <v>44236</v>
      </c>
      <c r="B297" s="57" t="s">
        <v>391</v>
      </c>
      <c r="C297" s="20" t="s">
        <v>47</v>
      </c>
      <c r="D297" s="20">
        <v>670</v>
      </c>
      <c r="E297" s="38">
        <v>1400</v>
      </c>
      <c r="F297" s="20" t="s">
        <v>8</v>
      </c>
      <c r="G297" s="43">
        <v>11.5</v>
      </c>
      <c r="H297" s="43">
        <v>10.25</v>
      </c>
      <c r="I297" s="43">
        <v>0</v>
      </c>
      <c r="J297" s="43">
        <v>0</v>
      </c>
      <c r="K297" s="1">
        <f t="shared" ref="K297" si="858">(IF(F297="SELL",G297-H297,IF(F297="BUY",H297-G297)))*E297</f>
        <v>-1750</v>
      </c>
      <c r="L297" s="43">
        <v>0</v>
      </c>
      <c r="M297" s="43">
        <v>0</v>
      </c>
      <c r="N297" s="1">
        <f t="shared" ref="N297" si="859">(L297+K297+M297)/E297</f>
        <v>-1.25</v>
      </c>
      <c r="O297" s="1">
        <f t="shared" ref="O297" si="860">N297*E297</f>
        <v>-1750</v>
      </c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</row>
    <row r="298" spans="1:33" s="32" customFormat="1" ht="15" customHeight="1">
      <c r="A298" s="37">
        <v>44235</v>
      </c>
      <c r="B298" s="57" t="s">
        <v>24</v>
      </c>
      <c r="C298" s="20" t="s">
        <v>47</v>
      </c>
      <c r="D298" s="20">
        <v>370</v>
      </c>
      <c r="E298" s="38">
        <v>5700</v>
      </c>
      <c r="F298" s="20" t="s">
        <v>8</v>
      </c>
      <c r="G298" s="43">
        <v>8.5</v>
      </c>
      <c r="H298" s="43">
        <v>10</v>
      </c>
      <c r="I298" s="43">
        <v>0</v>
      </c>
      <c r="J298" s="43">
        <v>0</v>
      </c>
      <c r="K298" s="1">
        <f t="shared" ref="K298" si="861">(IF(F298="SELL",G298-H298,IF(F298="BUY",H298-G298)))*E298</f>
        <v>8550</v>
      </c>
      <c r="L298" s="43">
        <v>0</v>
      </c>
      <c r="M298" s="43">
        <v>0</v>
      </c>
      <c r="N298" s="1">
        <f t="shared" ref="N298" si="862">(L298+K298+M298)/E298</f>
        <v>1.5</v>
      </c>
      <c r="O298" s="1">
        <f t="shared" ref="O298" si="863">N298*E298</f>
        <v>8550</v>
      </c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</row>
    <row r="299" spans="1:33" s="32" customFormat="1" ht="15" customHeight="1">
      <c r="A299" s="37">
        <v>44235</v>
      </c>
      <c r="B299" s="57" t="s">
        <v>368</v>
      </c>
      <c r="C299" s="20" t="s">
        <v>47</v>
      </c>
      <c r="D299" s="20">
        <v>245</v>
      </c>
      <c r="E299" s="38">
        <v>3000</v>
      </c>
      <c r="F299" s="20" t="s">
        <v>8</v>
      </c>
      <c r="G299" s="43">
        <v>6</v>
      </c>
      <c r="H299" s="43">
        <v>7</v>
      </c>
      <c r="I299" s="43">
        <v>0</v>
      </c>
      <c r="J299" s="43">
        <v>0</v>
      </c>
      <c r="K299" s="1">
        <f t="shared" ref="K299" si="864">(IF(F299="SELL",G299-H299,IF(F299="BUY",H299-G299)))*E299</f>
        <v>3000</v>
      </c>
      <c r="L299" s="43">
        <v>0</v>
      </c>
      <c r="M299" s="43">
        <v>0</v>
      </c>
      <c r="N299" s="1">
        <f t="shared" ref="N299" si="865">(L299+K299+M299)/E299</f>
        <v>1</v>
      </c>
      <c r="O299" s="1">
        <f t="shared" ref="O299" si="866">N299*E299</f>
        <v>3000</v>
      </c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</row>
    <row r="300" spans="1:33" s="32" customFormat="1" ht="15" customHeight="1">
      <c r="A300" s="37">
        <v>44235</v>
      </c>
      <c r="B300" s="57" t="s">
        <v>367</v>
      </c>
      <c r="C300" s="20" t="s">
        <v>47</v>
      </c>
      <c r="D300" s="20">
        <v>272.5</v>
      </c>
      <c r="E300" s="38">
        <v>5000</v>
      </c>
      <c r="F300" s="20" t="s">
        <v>8</v>
      </c>
      <c r="G300" s="43">
        <v>5.8</v>
      </c>
      <c r="H300" s="43">
        <v>6.1</v>
      </c>
      <c r="I300" s="43">
        <v>0</v>
      </c>
      <c r="J300" s="43">
        <v>0</v>
      </c>
      <c r="K300" s="1">
        <f t="shared" ref="K300" si="867">(IF(F300="SELL",G300-H300,IF(F300="BUY",H300-G300)))*E300</f>
        <v>1499.9999999999991</v>
      </c>
      <c r="L300" s="43">
        <v>0</v>
      </c>
      <c r="M300" s="43">
        <v>0</v>
      </c>
      <c r="N300" s="1">
        <f t="shared" ref="N300" si="868">(L300+K300+M300)/E300</f>
        <v>0.29999999999999982</v>
      </c>
      <c r="O300" s="1">
        <f t="shared" ref="O300" si="869">N300*E300</f>
        <v>1499.9999999999991</v>
      </c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</row>
    <row r="301" spans="1:33" s="32" customFormat="1" ht="15" customHeight="1">
      <c r="A301" s="37">
        <v>44232</v>
      </c>
      <c r="B301" s="57" t="s">
        <v>369</v>
      </c>
      <c r="C301" s="20" t="s">
        <v>46</v>
      </c>
      <c r="D301" s="20">
        <v>140</v>
      </c>
      <c r="E301" s="38">
        <v>5400</v>
      </c>
      <c r="F301" s="20" t="s">
        <v>8</v>
      </c>
      <c r="G301" s="43">
        <v>2.5</v>
      </c>
      <c r="H301" s="43">
        <v>3</v>
      </c>
      <c r="I301" s="43">
        <v>0</v>
      </c>
      <c r="J301" s="43">
        <v>0</v>
      </c>
      <c r="K301" s="1">
        <f t="shared" ref="K301" si="870">(IF(F301="SELL",G301-H301,IF(F301="BUY",H301-G301)))*E301</f>
        <v>2700</v>
      </c>
      <c r="L301" s="43">
        <v>0</v>
      </c>
      <c r="M301" s="43">
        <v>0</v>
      </c>
      <c r="N301" s="1">
        <f t="shared" ref="N301" si="871">(L301+K301+M301)/E301</f>
        <v>0.5</v>
      </c>
      <c r="O301" s="1">
        <f t="shared" ref="O301" si="872">N301*E301</f>
        <v>2700</v>
      </c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</row>
    <row r="302" spans="1:33" s="32" customFormat="1" ht="15" customHeight="1">
      <c r="A302" s="37">
        <v>44232</v>
      </c>
      <c r="B302" s="57" t="s">
        <v>21</v>
      </c>
      <c r="C302" s="20" t="s">
        <v>46</v>
      </c>
      <c r="D302" s="20">
        <v>315</v>
      </c>
      <c r="E302" s="38">
        <v>3000</v>
      </c>
      <c r="F302" s="20" t="s">
        <v>8</v>
      </c>
      <c r="G302" s="43">
        <v>1.8</v>
      </c>
      <c r="H302" s="43">
        <v>2.4</v>
      </c>
      <c r="I302" s="43">
        <v>0</v>
      </c>
      <c r="J302" s="43">
        <v>0</v>
      </c>
      <c r="K302" s="1">
        <f t="shared" ref="K302" si="873">(IF(F302="SELL",G302-H302,IF(F302="BUY",H302-G302)))*E302</f>
        <v>1799.9999999999995</v>
      </c>
      <c r="L302" s="43">
        <v>0</v>
      </c>
      <c r="M302" s="43">
        <v>0</v>
      </c>
      <c r="N302" s="1">
        <f t="shared" ref="N302" si="874">(L302+K302+M302)/E302</f>
        <v>0.59999999999999987</v>
      </c>
      <c r="O302" s="1">
        <f t="shared" ref="O302" si="875">N302*E302</f>
        <v>1799.9999999999995</v>
      </c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</row>
    <row r="303" spans="1:33" s="32" customFormat="1" ht="15" customHeight="1">
      <c r="A303" s="37">
        <v>44232</v>
      </c>
      <c r="B303" s="57" t="s">
        <v>476</v>
      </c>
      <c r="C303" s="20" t="s">
        <v>46</v>
      </c>
      <c r="D303" s="20">
        <v>175</v>
      </c>
      <c r="E303" s="38">
        <v>6000</v>
      </c>
      <c r="F303" s="20" t="s">
        <v>8</v>
      </c>
      <c r="G303" s="43">
        <v>7.2</v>
      </c>
      <c r="H303" s="43">
        <v>7.6</v>
      </c>
      <c r="I303" s="43">
        <v>8</v>
      </c>
      <c r="J303" s="43">
        <v>0</v>
      </c>
      <c r="K303" s="1">
        <f t="shared" ref="K303" si="876">(IF(F303="SELL",G303-H303,IF(F303="BUY",H303-G303)))*E303</f>
        <v>2399.9999999999968</v>
      </c>
      <c r="L303" s="43">
        <f>E303*0.4</f>
        <v>2400</v>
      </c>
      <c r="M303" s="43">
        <v>0</v>
      </c>
      <c r="N303" s="1">
        <f t="shared" ref="N303" si="877">(L303+K303+M303)/E303</f>
        <v>0.79999999999999938</v>
      </c>
      <c r="O303" s="1">
        <f t="shared" ref="O303" si="878">N303*E303</f>
        <v>4799.9999999999964</v>
      </c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</row>
    <row r="304" spans="1:33" s="32" customFormat="1" ht="15" customHeight="1">
      <c r="A304" s="37">
        <v>44232</v>
      </c>
      <c r="B304" s="57" t="s">
        <v>60</v>
      </c>
      <c r="C304" s="20" t="s">
        <v>46</v>
      </c>
      <c r="D304" s="20">
        <v>170</v>
      </c>
      <c r="E304" s="38">
        <v>6200</v>
      </c>
      <c r="F304" s="20" t="s">
        <v>8</v>
      </c>
      <c r="G304" s="43">
        <v>4.55</v>
      </c>
      <c r="H304" s="43">
        <v>5</v>
      </c>
      <c r="I304" s="43">
        <v>0</v>
      </c>
      <c r="J304" s="43">
        <v>0</v>
      </c>
      <c r="K304" s="1">
        <f t="shared" ref="K304" si="879">(IF(F304="SELL",G304-H304,IF(F304="BUY",H304-G304)))*E304</f>
        <v>2790.0000000000009</v>
      </c>
      <c r="L304" s="43">
        <v>0</v>
      </c>
      <c r="M304" s="43">
        <v>0</v>
      </c>
      <c r="N304" s="1">
        <f t="shared" ref="N304" si="880">(L304+K304+M304)/E304</f>
        <v>0.45000000000000012</v>
      </c>
      <c r="O304" s="1">
        <f t="shared" ref="O304" si="881">N304*E304</f>
        <v>2790.0000000000009</v>
      </c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</row>
    <row r="305" spans="1:33" s="32" customFormat="1" ht="15" customHeight="1">
      <c r="A305" s="37">
        <v>44231</v>
      </c>
      <c r="B305" s="57" t="s">
        <v>404</v>
      </c>
      <c r="C305" s="20" t="s">
        <v>47</v>
      </c>
      <c r="D305" s="20">
        <v>150</v>
      </c>
      <c r="E305" s="38">
        <v>6000</v>
      </c>
      <c r="F305" s="20" t="s">
        <v>8</v>
      </c>
      <c r="G305" s="43">
        <v>7</v>
      </c>
      <c r="H305" s="43">
        <v>7.5</v>
      </c>
      <c r="I305" s="43">
        <v>8.65</v>
      </c>
      <c r="J305" s="43">
        <v>0</v>
      </c>
      <c r="K305" s="1">
        <f t="shared" ref="K305" si="882">(IF(F305="SELL",G305-H305,IF(F305="BUY",H305-G305)))*E305</f>
        <v>3000</v>
      </c>
      <c r="L305" s="43">
        <f>E305*1.15</f>
        <v>6899.9999999999991</v>
      </c>
      <c r="M305" s="43">
        <v>0</v>
      </c>
      <c r="N305" s="1">
        <f t="shared" ref="N305" si="883">(L305+K305+M305)/E305</f>
        <v>1.65</v>
      </c>
      <c r="O305" s="1">
        <f t="shared" ref="O305" si="884">N305*E305</f>
        <v>9900</v>
      </c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</row>
    <row r="306" spans="1:33" s="32" customFormat="1" ht="15" customHeight="1">
      <c r="A306" s="37">
        <v>44231</v>
      </c>
      <c r="B306" s="57" t="s">
        <v>493</v>
      </c>
      <c r="C306" s="20" t="s">
        <v>47</v>
      </c>
      <c r="D306" s="20">
        <v>1120</v>
      </c>
      <c r="E306" s="38">
        <v>600</v>
      </c>
      <c r="F306" s="20" t="s">
        <v>8</v>
      </c>
      <c r="G306" s="43">
        <v>31.5</v>
      </c>
      <c r="H306" s="43">
        <v>37</v>
      </c>
      <c r="I306" s="43">
        <v>0</v>
      </c>
      <c r="J306" s="43">
        <v>0</v>
      </c>
      <c r="K306" s="1">
        <f t="shared" ref="K306" si="885">(IF(F306="SELL",G306-H306,IF(F306="BUY",H306-G306)))*E306</f>
        <v>3300</v>
      </c>
      <c r="L306" s="43">
        <v>0</v>
      </c>
      <c r="M306" s="43">
        <v>0</v>
      </c>
      <c r="N306" s="1">
        <f t="shared" ref="N306" si="886">(L306+K306+M306)/E306</f>
        <v>5.5</v>
      </c>
      <c r="O306" s="1">
        <f t="shared" ref="O306" si="887">N306*E306</f>
        <v>3300</v>
      </c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</row>
    <row r="307" spans="1:33" s="32" customFormat="1" ht="15" customHeight="1">
      <c r="A307" s="37">
        <v>44231</v>
      </c>
      <c r="B307" s="57" t="s">
        <v>368</v>
      </c>
      <c r="C307" s="20" t="s">
        <v>47</v>
      </c>
      <c r="D307" s="20">
        <v>230</v>
      </c>
      <c r="E307" s="38">
        <v>3000</v>
      </c>
      <c r="F307" s="20" t="s">
        <v>8</v>
      </c>
      <c r="G307" s="43">
        <v>8.5</v>
      </c>
      <c r="H307" s="43">
        <v>7.5</v>
      </c>
      <c r="I307" s="43">
        <v>0</v>
      </c>
      <c r="J307" s="43">
        <v>0</v>
      </c>
      <c r="K307" s="1">
        <f t="shared" ref="K307" si="888">(IF(F307="SELL",G307-H307,IF(F307="BUY",H307-G307)))*E307</f>
        <v>-3000</v>
      </c>
      <c r="L307" s="43">
        <v>0</v>
      </c>
      <c r="M307" s="43">
        <v>0</v>
      </c>
      <c r="N307" s="1">
        <f t="shared" ref="N307" si="889">(L307+K307+M307)/E307</f>
        <v>-1</v>
      </c>
      <c r="O307" s="1">
        <f t="shared" ref="O307" si="890">N307*E307</f>
        <v>-3000</v>
      </c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</row>
    <row r="308" spans="1:33" s="32" customFormat="1" ht="15" customHeight="1">
      <c r="A308" s="37">
        <v>44231</v>
      </c>
      <c r="B308" s="57" t="s">
        <v>193</v>
      </c>
      <c r="C308" s="20" t="s">
        <v>47</v>
      </c>
      <c r="D308" s="20">
        <v>560</v>
      </c>
      <c r="E308" s="38">
        <v>1375</v>
      </c>
      <c r="F308" s="20" t="s">
        <v>8</v>
      </c>
      <c r="G308" s="43">
        <v>18.5</v>
      </c>
      <c r="H308" s="43">
        <v>19.8</v>
      </c>
      <c r="I308" s="43">
        <v>0</v>
      </c>
      <c r="J308" s="43">
        <v>0</v>
      </c>
      <c r="K308" s="1">
        <f t="shared" ref="K308" si="891">(IF(F308="SELL",G308-H308,IF(F308="BUY",H308-G308)))*E308</f>
        <v>1787.5000000000009</v>
      </c>
      <c r="L308" s="43">
        <v>0</v>
      </c>
      <c r="M308" s="43">
        <v>0</v>
      </c>
      <c r="N308" s="1">
        <f t="shared" ref="N308" si="892">(L308+K308+M308)/E308</f>
        <v>1.3000000000000007</v>
      </c>
      <c r="O308" s="1">
        <f t="shared" ref="O308" si="893">N308*E308</f>
        <v>1787.5000000000009</v>
      </c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</row>
    <row r="309" spans="1:33" s="32" customFormat="1" ht="15" customHeight="1">
      <c r="A309" s="37">
        <v>44230</v>
      </c>
      <c r="B309" s="57" t="s">
        <v>116</v>
      </c>
      <c r="C309" s="20" t="s">
        <v>47</v>
      </c>
      <c r="D309" s="20">
        <v>6000</v>
      </c>
      <c r="E309" s="38">
        <v>2000</v>
      </c>
      <c r="F309" s="20" t="s">
        <v>8</v>
      </c>
      <c r="G309" s="43">
        <v>21.5</v>
      </c>
      <c r="H309" s="43">
        <v>23</v>
      </c>
      <c r="I309" s="43">
        <v>0</v>
      </c>
      <c r="J309" s="43">
        <v>0</v>
      </c>
      <c r="K309" s="1">
        <f t="shared" ref="K309" si="894">(IF(F309="SELL",G309-H309,IF(F309="BUY",H309-G309)))*E309</f>
        <v>3000</v>
      </c>
      <c r="L309" s="43">
        <v>0</v>
      </c>
      <c r="M309" s="43">
        <v>0</v>
      </c>
      <c r="N309" s="1">
        <f t="shared" ref="N309" si="895">(L309+K309+M309)/E309</f>
        <v>1.5</v>
      </c>
      <c r="O309" s="1">
        <f t="shared" ref="O309" si="896">N309*E309</f>
        <v>3000</v>
      </c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</row>
    <row r="310" spans="1:33" s="32" customFormat="1" ht="15" customHeight="1">
      <c r="A310" s="37">
        <v>44230</v>
      </c>
      <c r="B310" s="57" t="s">
        <v>367</v>
      </c>
      <c r="C310" s="20" t="s">
        <v>47</v>
      </c>
      <c r="D310" s="20">
        <v>235</v>
      </c>
      <c r="E310" s="38">
        <v>5000</v>
      </c>
      <c r="F310" s="20" t="s">
        <v>8</v>
      </c>
      <c r="G310" s="43">
        <v>13</v>
      </c>
      <c r="H310" s="43">
        <v>14</v>
      </c>
      <c r="I310" s="43">
        <v>0</v>
      </c>
      <c r="J310" s="43">
        <v>0</v>
      </c>
      <c r="K310" s="1">
        <f t="shared" ref="K310" si="897">(IF(F310="SELL",G310-H310,IF(F310="BUY",H310-G310)))*E310</f>
        <v>5000</v>
      </c>
      <c r="L310" s="43">
        <v>0</v>
      </c>
      <c r="M310" s="43">
        <v>0</v>
      </c>
      <c r="N310" s="1">
        <f t="shared" ref="N310" si="898">(L310+K310+M310)/E310</f>
        <v>1</v>
      </c>
      <c r="O310" s="1">
        <f t="shared" ref="O310" si="899">N310*E310</f>
        <v>5000</v>
      </c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</row>
    <row r="311" spans="1:33" s="32" customFormat="1" ht="15" customHeight="1">
      <c r="A311" s="37">
        <v>44230</v>
      </c>
      <c r="B311" s="57" t="s">
        <v>60</v>
      </c>
      <c r="C311" s="20" t="s">
        <v>47</v>
      </c>
      <c r="D311" s="20">
        <v>180</v>
      </c>
      <c r="E311" s="38">
        <v>6200</v>
      </c>
      <c r="F311" s="20" t="s">
        <v>8</v>
      </c>
      <c r="G311" s="43">
        <v>6.4</v>
      </c>
      <c r="H311" s="43">
        <v>6</v>
      </c>
      <c r="I311" s="43">
        <v>0</v>
      </c>
      <c r="J311" s="43">
        <v>0</v>
      </c>
      <c r="K311" s="1">
        <f t="shared" ref="K311" si="900">(IF(F311="SELL",G311-H311,IF(F311="BUY",H311-G311)))*E311</f>
        <v>-2480.0000000000023</v>
      </c>
      <c r="L311" s="43">
        <v>0</v>
      </c>
      <c r="M311" s="43">
        <v>0</v>
      </c>
      <c r="N311" s="1">
        <f t="shared" ref="N311" si="901">(L311+K311+M311)/E311</f>
        <v>-0.40000000000000036</v>
      </c>
      <c r="O311" s="1">
        <f t="shared" ref="O311" si="902">N311*E311</f>
        <v>-2480.0000000000023</v>
      </c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</row>
    <row r="312" spans="1:33" s="32" customFormat="1" ht="15" customHeight="1">
      <c r="A312" s="37">
        <v>44230</v>
      </c>
      <c r="B312" s="57" t="s">
        <v>368</v>
      </c>
      <c r="C312" s="20" t="s">
        <v>47</v>
      </c>
      <c r="D312" s="20">
        <v>275</v>
      </c>
      <c r="E312" s="38">
        <v>3000</v>
      </c>
      <c r="F312" s="20" t="s">
        <v>8</v>
      </c>
      <c r="G312" s="43">
        <v>8.4</v>
      </c>
      <c r="H312" s="43">
        <v>7.4</v>
      </c>
      <c r="I312" s="43">
        <v>0</v>
      </c>
      <c r="J312" s="43">
        <v>0</v>
      </c>
      <c r="K312" s="1">
        <f t="shared" ref="K312" si="903">(IF(F312="SELL",G312-H312,IF(F312="BUY",H312-G312)))*E312</f>
        <v>-3000</v>
      </c>
      <c r="L312" s="43">
        <v>0</v>
      </c>
      <c r="M312" s="43">
        <v>0</v>
      </c>
      <c r="N312" s="1">
        <f t="shared" ref="N312" si="904">(L312+K312+M312)/E312</f>
        <v>-1</v>
      </c>
      <c r="O312" s="1">
        <f t="shared" ref="O312" si="905">N312*E312</f>
        <v>-3000</v>
      </c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</row>
    <row r="313" spans="1:33" s="32" customFormat="1" ht="15" customHeight="1">
      <c r="A313" s="37">
        <v>44230</v>
      </c>
      <c r="B313" s="57" t="s">
        <v>507</v>
      </c>
      <c r="C313" s="20" t="s">
        <v>47</v>
      </c>
      <c r="D313" s="20">
        <v>900</v>
      </c>
      <c r="E313" s="38">
        <v>750</v>
      </c>
      <c r="F313" s="20" t="s">
        <v>8</v>
      </c>
      <c r="G313" s="43">
        <v>22</v>
      </c>
      <c r="H313" s="43">
        <v>20.5</v>
      </c>
      <c r="I313" s="43">
        <v>0</v>
      </c>
      <c r="J313" s="43">
        <v>0</v>
      </c>
      <c r="K313" s="1">
        <f t="shared" ref="K313" si="906">(IF(F313="SELL",G313-H313,IF(F313="BUY",H313-G313)))*E313</f>
        <v>-1125</v>
      </c>
      <c r="L313" s="43">
        <v>0</v>
      </c>
      <c r="M313" s="43">
        <v>0</v>
      </c>
      <c r="N313" s="1">
        <f t="shared" ref="N313" si="907">(L313+K313+M313)/E313</f>
        <v>-1.5</v>
      </c>
      <c r="O313" s="1">
        <f t="shared" ref="O313" si="908">N313*E313</f>
        <v>-1125</v>
      </c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</row>
    <row r="314" spans="1:33" s="32" customFormat="1" ht="15" customHeight="1">
      <c r="A314" s="37">
        <v>44229</v>
      </c>
      <c r="B314" s="57" t="s">
        <v>367</v>
      </c>
      <c r="C314" s="20" t="s">
        <v>47</v>
      </c>
      <c r="D314" s="20">
        <v>225</v>
      </c>
      <c r="E314" s="38">
        <v>5000</v>
      </c>
      <c r="F314" s="20" t="s">
        <v>8</v>
      </c>
      <c r="G314" s="43">
        <v>12</v>
      </c>
      <c r="H314" s="43">
        <v>13</v>
      </c>
      <c r="I314" s="43">
        <v>15</v>
      </c>
      <c r="J314" s="43">
        <v>0</v>
      </c>
      <c r="K314" s="1">
        <f t="shared" ref="K314" si="909">(IF(F314="SELL",G314-H314,IF(F314="BUY",H314-G314)))*E314</f>
        <v>5000</v>
      </c>
      <c r="L314" s="43">
        <f>E314*2</f>
        <v>10000</v>
      </c>
      <c r="M314" s="43">
        <v>0</v>
      </c>
      <c r="N314" s="1">
        <f t="shared" ref="N314" si="910">(L314+K314+M314)/E314</f>
        <v>3</v>
      </c>
      <c r="O314" s="1">
        <f t="shared" ref="O314" si="911">N314*E314</f>
        <v>15000</v>
      </c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</row>
    <row r="315" spans="1:33" s="32" customFormat="1" ht="15" customHeight="1">
      <c r="A315" s="37">
        <v>44229</v>
      </c>
      <c r="B315" s="57" t="s">
        <v>368</v>
      </c>
      <c r="C315" s="20" t="s">
        <v>47</v>
      </c>
      <c r="D315" s="20">
        <v>275</v>
      </c>
      <c r="E315" s="38">
        <v>3000</v>
      </c>
      <c r="F315" s="20" t="s">
        <v>8</v>
      </c>
      <c r="G315" s="43">
        <v>7.3</v>
      </c>
      <c r="H315" s="43">
        <v>8</v>
      </c>
      <c r="I315" s="43">
        <v>8.9</v>
      </c>
      <c r="J315" s="43">
        <v>0</v>
      </c>
      <c r="K315" s="1">
        <f t="shared" ref="K315" si="912">(IF(F315="SELL",G315-H315,IF(F315="BUY",H315-G315)))*E315</f>
        <v>2100.0000000000005</v>
      </c>
      <c r="L315" s="43">
        <f>E315*0.9</f>
        <v>2700</v>
      </c>
      <c r="M315" s="43">
        <v>0</v>
      </c>
      <c r="N315" s="1">
        <f t="shared" ref="N315" si="913">(L315+K315+M315)/E315</f>
        <v>1.6</v>
      </c>
      <c r="O315" s="1">
        <f t="shared" ref="O315" si="914">N315*E315</f>
        <v>4800</v>
      </c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</row>
    <row r="316" spans="1:33" s="32" customFormat="1" ht="15" customHeight="1">
      <c r="A316" s="37">
        <v>44229</v>
      </c>
      <c r="B316" s="57" t="s">
        <v>98</v>
      </c>
      <c r="C316" s="20" t="s">
        <v>47</v>
      </c>
      <c r="D316" s="20">
        <v>405</v>
      </c>
      <c r="E316" s="38">
        <v>2300</v>
      </c>
      <c r="F316" s="20" t="s">
        <v>8</v>
      </c>
      <c r="G316" s="43">
        <v>11.9</v>
      </c>
      <c r="H316" s="43">
        <v>12.15</v>
      </c>
      <c r="I316" s="43">
        <v>12.9</v>
      </c>
      <c r="J316" s="43">
        <v>0</v>
      </c>
      <c r="K316" s="1">
        <f t="shared" ref="K316" si="915">(IF(F316="SELL",G316-H316,IF(F316="BUY",H316-G316)))*E316</f>
        <v>575</v>
      </c>
      <c r="L316" s="43">
        <f>E316*0.75</f>
        <v>1725</v>
      </c>
      <c r="M316" s="43">
        <v>0</v>
      </c>
      <c r="N316" s="1">
        <f t="shared" ref="N316" si="916">(L316+K316+M316)/E316</f>
        <v>1</v>
      </c>
      <c r="O316" s="1">
        <f t="shared" ref="O316" si="917">N316*E316</f>
        <v>2300</v>
      </c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</row>
    <row r="317" spans="1:33" s="32" customFormat="1" ht="15" customHeight="1">
      <c r="A317" s="37">
        <v>44229</v>
      </c>
      <c r="B317" s="57" t="s">
        <v>473</v>
      </c>
      <c r="C317" s="20" t="s">
        <v>47</v>
      </c>
      <c r="D317" s="20">
        <v>235</v>
      </c>
      <c r="E317" s="38">
        <v>3200</v>
      </c>
      <c r="F317" s="20" t="s">
        <v>8</v>
      </c>
      <c r="G317" s="43">
        <v>5</v>
      </c>
      <c r="H317" s="43">
        <v>4</v>
      </c>
      <c r="I317" s="43">
        <v>0</v>
      </c>
      <c r="J317" s="43">
        <v>0</v>
      </c>
      <c r="K317" s="1">
        <f t="shared" ref="K317" si="918">(IF(F317="SELL",G317-H317,IF(F317="BUY",H317-G317)))*E317</f>
        <v>-3200</v>
      </c>
      <c r="L317" s="43">
        <v>0</v>
      </c>
      <c r="M317" s="43">
        <v>0</v>
      </c>
      <c r="N317" s="1">
        <f t="shared" ref="N317" si="919">(L317+K317+M317)/E317</f>
        <v>-1</v>
      </c>
      <c r="O317" s="1">
        <f t="shared" ref="O317" si="920">N317*E317</f>
        <v>-3200</v>
      </c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</row>
    <row r="318" spans="1:33" s="32" customFormat="1" ht="15" customHeight="1">
      <c r="A318" s="37">
        <v>44229</v>
      </c>
      <c r="B318" s="57" t="s">
        <v>72</v>
      </c>
      <c r="C318" s="20" t="s">
        <v>47</v>
      </c>
      <c r="D318" s="20">
        <v>420</v>
      </c>
      <c r="E318" s="38">
        <v>1800</v>
      </c>
      <c r="F318" s="20" t="s">
        <v>8</v>
      </c>
      <c r="G318" s="43">
        <v>11</v>
      </c>
      <c r="H318" s="43">
        <v>11</v>
      </c>
      <c r="I318" s="43">
        <v>0</v>
      </c>
      <c r="J318" s="43">
        <v>0</v>
      </c>
      <c r="K318" s="1">
        <f t="shared" ref="K318" si="921">(IF(F318="SELL",G318-H318,IF(F318="BUY",H318-G318)))*E318</f>
        <v>0</v>
      </c>
      <c r="L318" s="43">
        <v>0</v>
      </c>
      <c r="M318" s="43">
        <v>0</v>
      </c>
      <c r="N318" s="1">
        <f t="shared" ref="N318" si="922">(L318+K318+M318)/E318</f>
        <v>0</v>
      </c>
      <c r="O318" s="1">
        <f t="shared" ref="O318" si="923">N318*E318</f>
        <v>0</v>
      </c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</row>
    <row r="319" spans="1:33" s="32" customFormat="1" ht="15" customHeight="1">
      <c r="A319" s="37">
        <v>44228</v>
      </c>
      <c r="B319" s="57" t="s">
        <v>22</v>
      </c>
      <c r="C319" s="20" t="s">
        <v>47</v>
      </c>
      <c r="D319" s="20">
        <v>250</v>
      </c>
      <c r="E319" s="38">
        <v>3300</v>
      </c>
      <c r="F319" s="20" t="s">
        <v>8</v>
      </c>
      <c r="G319" s="43">
        <v>10.6</v>
      </c>
      <c r="H319" s="43">
        <v>11.4</v>
      </c>
      <c r="I319" s="43">
        <v>13</v>
      </c>
      <c r="J319" s="43">
        <v>0</v>
      </c>
      <c r="K319" s="1">
        <f t="shared" ref="K319" si="924">(IF(F319="SELL",G319-H319,IF(F319="BUY",H319-G319)))*E319</f>
        <v>2640.0000000000023</v>
      </c>
      <c r="L319" s="43">
        <f>E319*1.6</f>
        <v>5280</v>
      </c>
      <c r="M319" s="43">
        <v>0</v>
      </c>
      <c r="N319" s="1">
        <f t="shared" ref="N319" si="925">(L319+K319+M319)/E319</f>
        <v>2.4000000000000004</v>
      </c>
      <c r="O319" s="1">
        <f t="shared" ref="O319" si="926">N319*E319</f>
        <v>7920.0000000000009</v>
      </c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</row>
    <row r="320" spans="1:33" s="32" customFormat="1" ht="15" customHeight="1">
      <c r="A320" s="37">
        <v>44228</v>
      </c>
      <c r="B320" s="57" t="s">
        <v>270</v>
      </c>
      <c r="C320" s="20" t="s">
        <v>47</v>
      </c>
      <c r="D320" s="20">
        <v>280</v>
      </c>
      <c r="E320" s="38">
        <v>5000</v>
      </c>
      <c r="F320" s="20" t="s">
        <v>8</v>
      </c>
      <c r="G320" s="43">
        <v>11.4</v>
      </c>
      <c r="H320" s="43">
        <v>12.4</v>
      </c>
      <c r="I320" s="43">
        <v>0</v>
      </c>
      <c r="J320" s="43">
        <v>0</v>
      </c>
      <c r="K320" s="1">
        <f t="shared" ref="K320" si="927">(IF(F320="SELL",G320-H320,IF(F320="BUY",H320-G320)))*E320</f>
        <v>5000</v>
      </c>
      <c r="L320" s="43">
        <v>0</v>
      </c>
      <c r="M320" s="43">
        <v>0</v>
      </c>
      <c r="N320" s="1">
        <f t="shared" ref="N320" si="928">(L320+K320+M320)/E320</f>
        <v>1</v>
      </c>
      <c r="O320" s="1">
        <f t="shared" ref="O320" si="929">N320*E320</f>
        <v>5000</v>
      </c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</row>
    <row r="321" spans="1:33" s="32" customFormat="1" ht="15" customHeight="1">
      <c r="A321" s="37">
        <v>44228</v>
      </c>
      <c r="B321" s="57" t="s">
        <v>328</v>
      </c>
      <c r="C321" s="20" t="s">
        <v>46</v>
      </c>
      <c r="D321" s="20">
        <v>390</v>
      </c>
      <c r="E321" s="38">
        <v>2500</v>
      </c>
      <c r="F321" s="20" t="s">
        <v>8</v>
      </c>
      <c r="G321" s="43">
        <v>7</v>
      </c>
      <c r="H321" s="43">
        <v>6.85</v>
      </c>
      <c r="I321" s="43">
        <v>0</v>
      </c>
      <c r="J321" s="43">
        <v>0</v>
      </c>
      <c r="K321" s="1">
        <f t="shared" ref="K321" si="930">(IF(F321="SELL",G321-H321,IF(F321="BUY",H321-G321)))*E321</f>
        <v>-375.00000000000091</v>
      </c>
      <c r="L321" s="43">
        <v>0</v>
      </c>
      <c r="M321" s="43">
        <v>0</v>
      </c>
      <c r="N321" s="1">
        <f t="shared" ref="N321" si="931">(L321+K321+M321)/E321</f>
        <v>-0.15000000000000036</v>
      </c>
      <c r="O321" s="1">
        <f t="shared" ref="O321" si="932">N321*E321</f>
        <v>-375.00000000000091</v>
      </c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</row>
    <row r="322" spans="1:33" s="32" customFormat="1" ht="15" customHeight="1">
      <c r="A322" s="37">
        <v>44225</v>
      </c>
      <c r="B322" s="57" t="s">
        <v>446</v>
      </c>
      <c r="C322" s="20" t="s">
        <v>47</v>
      </c>
      <c r="D322" s="20">
        <v>2360</v>
      </c>
      <c r="E322" s="38">
        <v>300</v>
      </c>
      <c r="F322" s="20" t="s">
        <v>8</v>
      </c>
      <c r="G322" s="43">
        <v>40.299999999999997</v>
      </c>
      <c r="H322" s="43">
        <v>47.2</v>
      </c>
      <c r="I322" s="43">
        <v>0</v>
      </c>
      <c r="J322" s="43">
        <v>0</v>
      </c>
      <c r="K322" s="1">
        <f t="shared" ref="K322" si="933">(IF(F322="SELL",G322-H322,IF(F322="BUY",H322-G322)))*E322</f>
        <v>2070.0000000000018</v>
      </c>
      <c r="L322" s="43">
        <v>0</v>
      </c>
      <c r="M322" s="43">
        <v>0</v>
      </c>
      <c r="N322" s="1">
        <f t="shared" ref="N322" si="934">(L322+K322+M322)/E322</f>
        <v>6.9000000000000057</v>
      </c>
      <c r="O322" s="1">
        <f t="shared" ref="O322" si="935">N322*E322</f>
        <v>2070.0000000000018</v>
      </c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</row>
    <row r="323" spans="1:33" s="32" customFormat="1" ht="15" customHeight="1">
      <c r="A323" s="37">
        <v>44225</v>
      </c>
      <c r="B323" s="57" t="s">
        <v>109</v>
      </c>
      <c r="C323" s="20" t="s">
        <v>47</v>
      </c>
      <c r="D323" s="20">
        <v>445</v>
      </c>
      <c r="E323" s="38">
        <v>3200</v>
      </c>
      <c r="F323" s="20" t="s">
        <v>8</v>
      </c>
      <c r="G323" s="43">
        <v>13</v>
      </c>
      <c r="H323" s="43">
        <v>11.9</v>
      </c>
      <c r="I323" s="43">
        <v>0</v>
      </c>
      <c r="J323" s="43">
        <v>0</v>
      </c>
      <c r="K323" s="1">
        <f t="shared" ref="K323" si="936">(IF(F323="SELL",G323-H323,IF(F323="BUY",H323-G323)))*E323</f>
        <v>-3519.9999999999991</v>
      </c>
      <c r="L323" s="43">
        <v>0</v>
      </c>
      <c r="M323" s="43">
        <v>0</v>
      </c>
      <c r="N323" s="1">
        <f t="shared" ref="N323" si="937">(L323+K323+M323)/E323</f>
        <v>-1.0999999999999996</v>
      </c>
      <c r="O323" s="1">
        <f t="shared" ref="O323" si="938">N323*E323</f>
        <v>-3519.9999999999991</v>
      </c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</row>
    <row r="324" spans="1:33" s="32" customFormat="1" ht="15" customHeight="1">
      <c r="A324" s="37">
        <v>44224</v>
      </c>
      <c r="B324" s="57" t="s">
        <v>24</v>
      </c>
      <c r="C324" s="20" t="s">
        <v>47</v>
      </c>
      <c r="D324" s="20">
        <v>270</v>
      </c>
      <c r="E324" s="38">
        <v>5700</v>
      </c>
      <c r="F324" s="20" t="s">
        <v>8</v>
      </c>
      <c r="G324" s="43">
        <v>1</v>
      </c>
      <c r="H324" s="43">
        <v>1.7</v>
      </c>
      <c r="I324" s="43">
        <v>2.5</v>
      </c>
      <c r="J324" s="43">
        <v>0</v>
      </c>
      <c r="K324" s="1">
        <f t="shared" ref="K324" si="939">(IF(F324="SELL",G324-H324,IF(F324="BUY",H324-G324)))*E324</f>
        <v>3989.9999999999995</v>
      </c>
      <c r="L324" s="43">
        <f>E324*0.8</f>
        <v>4560</v>
      </c>
      <c r="M324" s="43">
        <v>0</v>
      </c>
      <c r="N324" s="1">
        <f t="shared" ref="N324" si="940">(L324+K324+M324)/E324</f>
        <v>1.5</v>
      </c>
      <c r="O324" s="1">
        <f t="shared" ref="O324" si="941">N324*E324</f>
        <v>8550</v>
      </c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</row>
    <row r="325" spans="1:33" s="32" customFormat="1" ht="15" customHeight="1">
      <c r="A325" s="37">
        <v>44224</v>
      </c>
      <c r="B325" s="57" t="s">
        <v>21</v>
      </c>
      <c r="C325" s="20" t="s">
        <v>47</v>
      </c>
      <c r="D325" s="20">
        <v>275</v>
      </c>
      <c r="E325" s="38">
        <v>3000</v>
      </c>
      <c r="F325" s="20" t="s">
        <v>8</v>
      </c>
      <c r="G325" s="43">
        <v>1.7</v>
      </c>
      <c r="H325" s="43">
        <v>2.5</v>
      </c>
      <c r="I325" s="43">
        <v>3.6</v>
      </c>
      <c r="J325" s="43">
        <v>0</v>
      </c>
      <c r="K325" s="1">
        <f t="shared" ref="K325" si="942">(IF(F325="SELL",G325-H325,IF(F325="BUY",H325-G325)))*E325</f>
        <v>2400</v>
      </c>
      <c r="L325" s="43">
        <f>E325*1.1</f>
        <v>3300.0000000000005</v>
      </c>
      <c r="M325" s="43">
        <v>0</v>
      </c>
      <c r="N325" s="1">
        <f t="shared" ref="N325" si="943">(L325+K325+M325)/E325</f>
        <v>1.9</v>
      </c>
      <c r="O325" s="1">
        <f t="shared" ref="O325" si="944">N325*E325</f>
        <v>5700</v>
      </c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</row>
    <row r="326" spans="1:33" s="32" customFormat="1" ht="15" customHeight="1">
      <c r="A326" s="37">
        <v>44224</v>
      </c>
      <c r="B326" s="57" t="s">
        <v>367</v>
      </c>
      <c r="C326" s="20" t="s">
        <v>47</v>
      </c>
      <c r="D326" s="20">
        <v>200</v>
      </c>
      <c r="E326" s="38">
        <v>5000</v>
      </c>
      <c r="F326" s="20" t="s">
        <v>8</v>
      </c>
      <c r="G326" s="43">
        <v>2.1</v>
      </c>
      <c r="H326" s="43">
        <v>3</v>
      </c>
      <c r="I326" s="43">
        <v>5</v>
      </c>
      <c r="J326" s="43">
        <v>0</v>
      </c>
      <c r="K326" s="1">
        <f t="shared" ref="K326" si="945">(IF(F326="SELL",G326-H326,IF(F326="BUY",H326-G326)))*E326</f>
        <v>4500</v>
      </c>
      <c r="L326" s="43">
        <f>E326*2</f>
        <v>10000</v>
      </c>
      <c r="M326" s="43">
        <v>0</v>
      </c>
      <c r="N326" s="1">
        <f t="shared" ref="N326" si="946">(L326+K326+M326)/E326</f>
        <v>2.9</v>
      </c>
      <c r="O326" s="1">
        <f t="shared" ref="O326" si="947">N326*E326</f>
        <v>14500</v>
      </c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</row>
    <row r="327" spans="1:33" s="32" customFormat="1" ht="15" customHeight="1">
      <c r="A327" s="37">
        <v>44224</v>
      </c>
      <c r="B327" s="57" t="s">
        <v>36</v>
      </c>
      <c r="C327" s="20" t="s">
        <v>47</v>
      </c>
      <c r="D327" s="20">
        <v>90</v>
      </c>
      <c r="E327" s="38">
        <v>6500</v>
      </c>
      <c r="F327" s="20" t="s">
        <v>8</v>
      </c>
      <c r="G327" s="43">
        <v>0.85</v>
      </c>
      <c r="H327" s="43">
        <v>1.4</v>
      </c>
      <c r="I327" s="43">
        <v>2.5</v>
      </c>
      <c r="J327" s="43">
        <v>0</v>
      </c>
      <c r="K327" s="1">
        <f t="shared" ref="K327" si="948">(IF(F327="SELL",G327-H327,IF(F327="BUY",H327-G327)))*E327</f>
        <v>3574.9999999999995</v>
      </c>
      <c r="L327" s="43">
        <f>E327*1.1</f>
        <v>7150.0000000000009</v>
      </c>
      <c r="M327" s="43">
        <v>0</v>
      </c>
      <c r="N327" s="1">
        <f t="shared" ref="N327" si="949">(L327+K327+M327)/E327</f>
        <v>1.65</v>
      </c>
      <c r="O327" s="1">
        <f t="shared" ref="O327" si="950">N327*E327</f>
        <v>10725</v>
      </c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</row>
    <row r="328" spans="1:33" s="32" customFormat="1" ht="15" customHeight="1">
      <c r="A328" s="37">
        <v>44223</v>
      </c>
      <c r="B328" s="57" t="s">
        <v>326</v>
      </c>
      <c r="C328" s="20" t="s">
        <v>47</v>
      </c>
      <c r="D328" s="20">
        <v>192.5</v>
      </c>
      <c r="E328" s="38">
        <v>4000</v>
      </c>
      <c r="F328" s="20" t="s">
        <v>8</v>
      </c>
      <c r="G328" s="43">
        <v>1.1000000000000001</v>
      </c>
      <c r="H328" s="43">
        <v>1.6</v>
      </c>
      <c r="I328" s="43">
        <v>2.5</v>
      </c>
      <c r="J328" s="43">
        <v>0</v>
      </c>
      <c r="K328" s="1">
        <f t="shared" ref="K328" si="951">(IF(F328="SELL",G328-H328,IF(F328="BUY",H328-G328)))*E328</f>
        <v>2000</v>
      </c>
      <c r="L328" s="43">
        <f>E328*0.9</f>
        <v>3600</v>
      </c>
      <c r="M328" s="43">
        <v>0</v>
      </c>
      <c r="N328" s="1">
        <f t="shared" ref="N328" si="952">(L328+K328+M328)/E328</f>
        <v>1.4</v>
      </c>
      <c r="O328" s="1">
        <f t="shared" ref="O328" si="953">N328*E328</f>
        <v>5600</v>
      </c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</row>
    <row r="329" spans="1:33" s="32" customFormat="1" ht="15" customHeight="1">
      <c r="A329" s="37">
        <v>44223</v>
      </c>
      <c r="B329" s="57" t="s">
        <v>22</v>
      </c>
      <c r="C329" s="20" t="s">
        <v>46</v>
      </c>
      <c r="D329" s="20">
        <v>260</v>
      </c>
      <c r="E329" s="38">
        <v>3300</v>
      </c>
      <c r="F329" s="20" t="s">
        <v>8</v>
      </c>
      <c r="G329" s="43">
        <v>1.9</v>
      </c>
      <c r="H329" s="43">
        <v>2.7</v>
      </c>
      <c r="I329" s="43">
        <v>3</v>
      </c>
      <c r="J329" s="43">
        <v>0</v>
      </c>
      <c r="K329" s="1">
        <f t="shared" ref="K329" si="954">(IF(F329="SELL",G329-H329,IF(F329="BUY",H329-G329)))*E329</f>
        <v>2640.0000000000009</v>
      </c>
      <c r="L329" s="43">
        <f>E329*0.3</f>
        <v>990</v>
      </c>
      <c r="M329" s="43">
        <v>0</v>
      </c>
      <c r="N329" s="1">
        <f t="shared" ref="N329" si="955">(L329+K329+M329)/E329</f>
        <v>1.1000000000000003</v>
      </c>
      <c r="O329" s="1">
        <f t="shared" ref="O329" si="956">N329*E329</f>
        <v>3630.0000000000009</v>
      </c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</row>
    <row r="330" spans="1:33" s="32" customFormat="1" ht="15" customHeight="1">
      <c r="A330" s="37">
        <v>44223</v>
      </c>
      <c r="B330" s="57" t="s">
        <v>21</v>
      </c>
      <c r="C330" s="20" t="s">
        <v>47</v>
      </c>
      <c r="D330" s="20">
        <v>285</v>
      </c>
      <c r="E330" s="38">
        <v>3000</v>
      </c>
      <c r="F330" s="20" t="s">
        <v>8</v>
      </c>
      <c r="G330" s="43">
        <v>2</v>
      </c>
      <c r="H330" s="43">
        <v>2.7</v>
      </c>
      <c r="I330" s="43">
        <v>0</v>
      </c>
      <c r="J330" s="43">
        <v>0</v>
      </c>
      <c r="K330" s="1">
        <f t="shared" ref="K330" si="957">(IF(F330="SELL",G330-H330,IF(F330="BUY",H330-G330)))*E330</f>
        <v>2100.0000000000005</v>
      </c>
      <c r="L330" s="43">
        <v>0</v>
      </c>
      <c r="M330" s="43">
        <v>0</v>
      </c>
      <c r="N330" s="1">
        <f t="shared" ref="N330" si="958">(L330+K330+M330)/E330</f>
        <v>0.70000000000000018</v>
      </c>
      <c r="O330" s="1">
        <f t="shared" ref="O330" si="959">N330*E330</f>
        <v>2100.0000000000005</v>
      </c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</row>
    <row r="331" spans="1:33" s="32" customFormat="1" ht="15" customHeight="1">
      <c r="A331" s="37">
        <v>44223</v>
      </c>
      <c r="B331" s="57" t="s">
        <v>270</v>
      </c>
      <c r="C331" s="20" t="s">
        <v>47</v>
      </c>
      <c r="D331" s="20">
        <v>270</v>
      </c>
      <c r="E331" s="38">
        <v>5000</v>
      </c>
      <c r="F331" s="20" t="s">
        <v>8</v>
      </c>
      <c r="G331" s="43">
        <v>5.5</v>
      </c>
      <c r="H331" s="43">
        <v>6.3</v>
      </c>
      <c r="I331" s="43">
        <v>0</v>
      </c>
      <c r="J331" s="43">
        <v>0</v>
      </c>
      <c r="K331" s="1">
        <f t="shared" ref="K331" si="960">(IF(F331="SELL",G331-H331,IF(F331="BUY",H331-G331)))*E331</f>
        <v>3999.9999999999991</v>
      </c>
      <c r="L331" s="43">
        <v>0</v>
      </c>
      <c r="M331" s="43">
        <v>0</v>
      </c>
      <c r="N331" s="1">
        <f t="shared" ref="N331" si="961">(L331+K331+M331)/E331</f>
        <v>0.79999999999999982</v>
      </c>
      <c r="O331" s="1">
        <f t="shared" ref="O331" si="962">N331*E331</f>
        <v>3999.9999999999991</v>
      </c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</row>
    <row r="332" spans="1:33" s="32" customFormat="1" ht="15" customHeight="1">
      <c r="A332" s="37">
        <v>44223</v>
      </c>
      <c r="B332" s="57" t="s">
        <v>20</v>
      </c>
      <c r="C332" s="20" t="s">
        <v>47</v>
      </c>
      <c r="D332" s="20">
        <v>1320</v>
      </c>
      <c r="E332" s="38">
        <v>600</v>
      </c>
      <c r="F332" s="20" t="s">
        <v>8</v>
      </c>
      <c r="G332" s="43">
        <v>12</v>
      </c>
      <c r="H332" s="43">
        <v>7</v>
      </c>
      <c r="I332" s="43">
        <v>0</v>
      </c>
      <c r="J332" s="43">
        <v>0</v>
      </c>
      <c r="K332" s="1">
        <f t="shared" ref="K332" si="963">(IF(F332="SELL",G332-H332,IF(F332="BUY",H332-G332)))*E332</f>
        <v>-3000</v>
      </c>
      <c r="L332" s="43">
        <v>0</v>
      </c>
      <c r="M332" s="43">
        <v>0</v>
      </c>
      <c r="N332" s="1">
        <f t="shared" ref="N332" si="964">(L332+K332+M332)/E332</f>
        <v>-5</v>
      </c>
      <c r="O332" s="1">
        <f t="shared" ref="O332" si="965">N332*E332</f>
        <v>-3000</v>
      </c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</row>
    <row r="333" spans="1:33" s="32" customFormat="1" ht="15" customHeight="1">
      <c r="A333" s="37">
        <v>44221</v>
      </c>
      <c r="B333" s="57" t="s">
        <v>60</v>
      </c>
      <c r="C333" s="20" t="s">
        <v>47</v>
      </c>
      <c r="D333" s="20">
        <v>160</v>
      </c>
      <c r="E333" s="38">
        <v>6200</v>
      </c>
      <c r="F333" s="20" t="s">
        <v>8</v>
      </c>
      <c r="G333" s="43">
        <v>5.9</v>
      </c>
      <c r="H333" s="43">
        <v>6.5</v>
      </c>
      <c r="I333" s="43">
        <v>8</v>
      </c>
      <c r="J333" s="43">
        <v>0</v>
      </c>
      <c r="K333" s="1">
        <f t="shared" ref="K333" si="966">(IF(F333="SELL",G333-H333,IF(F333="BUY",H333-G333)))*E333</f>
        <v>3719.9999999999977</v>
      </c>
      <c r="L333" s="43">
        <f>E333*1.5</f>
        <v>9300</v>
      </c>
      <c r="M333" s="43">
        <v>0</v>
      </c>
      <c r="N333" s="1">
        <f t="shared" ref="N333" si="967">(L333+K333+M333)/E333</f>
        <v>2.0999999999999996</v>
      </c>
      <c r="O333" s="1">
        <f t="shared" ref="O333" si="968">N333*E333</f>
        <v>13019.999999999998</v>
      </c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</row>
    <row r="334" spans="1:33" s="32" customFormat="1" ht="15" customHeight="1">
      <c r="A334" s="37">
        <v>44221</v>
      </c>
      <c r="B334" s="57" t="s">
        <v>103</v>
      </c>
      <c r="C334" s="20" t="s">
        <v>47</v>
      </c>
      <c r="D334" s="20">
        <v>115</v>
      </c>
      <c r="E334" s="38">
        <v>9000</v>
      </c>
      <c r="F334" s="20" t="s">
        <v>8</v>
      </c>
      <c r="G334" s="43">
        <v>4.9000000000000004</v>
      </c>
      <c r="H334" s="43">
        <v>5.35</v>
      </c>
      <c r="I334" s="43">
        <v>0</v>
      </c>
      <c r="J334" s="43">
        <v>0</v>
      </c>
      <c r="K334" s="1">
        <f t="shared" ref="K334" si="969">(IF(F334="SELL",G334-H334,IF(F334="BUY",H334-G334)))*E334</f>
        <v>4049.9999999999936</v>
      </c>
      <c r="L334" s="43">
        <v>0</v>
      </c>
      <c r="M334" s="43">
        <v>0</v>
      </c>
      <c r="N334" s="1">
        <f t="shared" ref="N334" si="970">(L334+K334+M334)/E334</f>
        <v>0.44999999999999929</v>
      </c>
      <c r="O334" s="1">
        <f t="shared" ref="O334" si="971">N334*E334</f>
        <v>4049.9999999999936</v>
      </c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</row>
    <row r="335" spans="1:33" s="32" customFormat="1" ht="15" customHeight="1">
      <c r="A335" s="37">
        <v>44221</v>
      </c>
      <c r="B335" s="57" t="s">
        <v>24</v>
      </c>
      <c r="C335" s="20" t="s">
        <v>47</v>
      </c>
      <c r="D335" s="20">
        <v>285</v>
      </c>
      <c r="E335" s="38">
        <v>5700</v>
      </c>
      <c r="F335" s="20" t="s">
        <v>8</v>
      </c>
      <c r="G335" s="43">
        <v>9</v>
      </c>
      <c r="H335" s="43">
        <v>8</v>
      </c>
      <c r="I335" s="43">
        <v>0</v>
      </c>
      <c r="J335" s="43">
        <v>0</v>
      </c>
      <c r="K335" s="1">
        <f t="shared" ref="K335" si="972">(IF(F335="SELL",G335-H335,IF(F335="BUY",H335-G335)))*E335</f>
        <v>-5700</v>
      </c>
      <c r="L335" s="43">
        <v>0</v>
      </c>
      <c r="M335" s="43">
        <v>0</v>
      </c>
      <c r="N335" s="1">
        <f t="shared" ref="N335" si="973">(L335+K335+M335)/E335</f>
        <v>-1</v>
      </c>
      <c r="O335" s="1">
        <f t="shared" ref="O335" si="974">N335*E335</f>
        <v>-5700</v>
      </c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</row>
    <row r="336" spans="1:33" s="32" customFormat="1" ht="15" customHeight="1">
      <c r="A336" s="37">
        <v>44221</v>
      </c>
      <c r="B336" s="57" t="s">
        <v>409</v>
      </c>
      <c r="C336" s="20" t="s">
        <v>47</v>
      </c>
      <c r="D336" s="20">
        <v>94.85</v>
      </c>
      <c r="E336" s="38">
        <v>8900</v>
      </c>
      <c r="F336" s="20" t="s">
        <v>8</v>
      </c>
      <c r="G336" s="43">
        <v>1.3</v>
      </c>
      <c r="H336" s="43">
        <v>0.9</v>
      </c>
      <c r="I336" s="43">
        <v>0</v>
      </c>
      <c r="J336" s="43">
        <v>0</v>
      </c>
      <c r="K336" s="1">
        <f t="shared" ref="K336" si="975">(IF(F336="SELL",G336-H336,IF(F336="BUY",H336-G336)))*E336</f>
        <v>-3560</v>
      </c>
      <c r="L336" s="43">
        <v>0</v>
      </c>
      <c r="M336" s="43">
        <v>0</v>
      </c>
      <c r="N336" s="1">
        <f t="shared" ref="N336" si="976">(L336+K336+M336)/E336</f>
        <v>-0.4</v>
      </c>
      <c r="O336" s="1">
        <f t="shared" ref="O336" si="977">N336*E336</f>
        <v>-3560</v>
      </c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</row>
    <row r="337" spans="1:33" s="32" customFormat="1" ht="15" customHeight="1">
      <c r="A337" s="37">
        <v>44218</v>
      </c>
      <c r="B337" s="57" t="s">
        <v>103</v>
      </c>
      <c r="C337" s="20" t="s">
        <v>47</v>
      </c>
      <c r="D337" s="20">
        <v>130</v>
      </c>
      <c r="E337" s="38">
        <v>9000</v>
      </c>
      <c r="F337" s="20" t="s">
        <v>8</v>
      </c>
      <c r="G337" s="43">
        <v>2.5</v>
      </c>
      <c r="H337" s="43">
        <v>2.9</v>
      </c>
      <c r="I337" s="43">
        <v>0</v>
      </c>
      <c r="J337" s="43">
        <v>0</v>
      </c>
      <c r="K337" s="1">
        <f t="shared" ref="K337" si="978">(IF(F337="SELL",G337-H337,IF(F337="BUY",H337-G337)))*E337</f>
        <v>3599.9999999999991</v>
      </c>
      <c r="L337" s="43">
        <v>0</v>
      </c>
      <c r="M337" s="43">
        <v>0</v>
      </c>
      <c r="N337" s="1">
        <f t="shared" ref="N337" si="979">(L337+K337+M337)/E337</f>
        <v>0.39999999999999991</v>
      </c>
      <c r="O337" s="1">
        <f t="shared" ref="O337" si="980">N337*E337</f>
        <v>3599.9999999999991</v>
      </c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</row>
    <row r="338" spans="1:33" s="32" customFormat="1" ht="15" customHeight="1">
      <c r="A338" s="37">
        <v>44218</v>
      </c>
      <c r="B338" s="57" t="s">
        <v>446</v>
      </c>
      <c r="C338" s="20" t="s">
        <v>47</v>
      </c>
      <c r="D338" s="20">
        <v>2420</v>
      </c>
      <c r="E338" s="38">
        <v>300</v>
      </c>
      <c r="F338" s="20" t="s">
        <v>8</v>
      </c>
      <c r="G338" s="43">
        <v>35</v>
      </c>
      <c r="H338" s="43">
        <v>41</v>
      </c>
      <c r="I338" s="43">
        <v>0</v>
      </c>
      <c r="J338" s="43">
        <v>0</v>
      </c>
      <c r="K338" s="1">
        <f t="shared" ref="K338" si="981">(IF(F338="SELL",G338-H338,IF(F338="BUY",H338-G338)))*E338</f>
        <v>1800</v>
      </c>
      <c r="L338" s="43">
        <v>0</v>
      </c>
      <c r="M338" s="43">
        <v>0</v>
      </c>
      <c r="N338" s="1">
        <f t="shared" ref="N338" si="982">(L338+K338+M338)/E338</f>
        <v>6</v>
      </c>
      <c r="O338" s="1">
        <f t="shared" ref="O338" si="983">N338*E338</f>
        <v>1800</v>
      </c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</row>
    <row r="339" spans="1:33" s="32" customFormat="1" ht="15" customHeight="1">
      <c r="A339" s="37">
        <v>44218</v>
      </c>
      <c r="B339" s="57" t="s">
        <v>109</v>
      </c>
      <c r="C339" s="20" t="s">
        <v>47</v>
      </c>
      <c r="D339" s="20">
        <v>450</v>
      </c>
      <c r="E339" s="38">
        <v>3200</v>
      </c>
      <c r="F339" s="20" t="s">
        <v>8</v>
      </c>
      <c r="G339" s="43">
        <v>6</v>
      </c>
      <c r="H339" s="43">
        <v>7</v>
      </c>
      <c r="I339" s="43">
        <v>0</v>
      </c>
      <c r="J339" s="43">
        <v>0</v>
      </c>
      <c r="K339" s="1">
        <f t="shared" ref="K339" si="984">(IF(F339="SELL",G339-H339,IF(F339="BUY",H339-G339)))*E339</f>
        <v>3200</v>
      </c>
      <c r="L339" s="43">
        <v>0</v>
      </c>
      <c r="M339" s="43">
        <v>0</v>
      </c>
      <c r="N339" s="1">
        <f t="shared" ref="N339" si="985">(L339+K339+M339)/E339</f>
        <v>1</v>
      </c>
      <c r="O339" s="1">
        <f t="shared" ref="O339" si="986">N339*E339</f>
        <v>3200</v>
      </c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</row>
    <row r="340" spans="1:33" s="32" customFormat="1" ht="15" customHeight="1">
      <c r="A340" s="37">
        <v>44217</v>
      </c>
      <c r="B340" s="57" t="s">
        <v>466</v>
      </c>
      <c r="C340" s="20" t="s">
        <v>47</v>
      </c>
      <c r="D340" s="20">
        <v>570</v>
      </c>
      <c r="E340" s="38">
        <v>1375</v>
      </c>
      <c r="F340" s="20" t="s">
        <v>8</v>
      </c>
      <c r="G340" s="43">
        <v>6</v>
      </c>
      <c r="H340" s="43">
        <v>4</v>
      </c>
      <c r="I340" s="43">
        <v>0</v>
      </c>
      <c r="J340" s="43">
        <v>0</v>
      </c>
      <c r="K340" s="1">
        <f t="shared" ref="K340" si="987">(IF(F340="SELL",G340-H340,IF(F340="BUY",H340-G340)))*E340</f>
        <v>-2750</v>
      </c>
      <c r="L340" s="43">
        <v>0</v>
      </c>
      <c r="M340" s="43">
        <v>0</v>
      </c>
      <c r="N340" s="1">
        <f t="shared" ref="N340" si="988">(L340+K340+M340)/E340</f>
        <v>-2</v>
      </c>
      <c r="O340" s="1">
        <f t="shared" ref="O340" si="989">N340*E340</f>
        <v>-2750</v>
      </c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</row>
    <row r="341" spans="1:33" s="32" customFormat="1" ht="15" customHeight="1">
      <c r="A341" s="37">
        <v>44217</v>
      </c>
      <c r="B341" s="57" t="s">
        <v>109</v>
      </c>
      <c r="C341" s="20" t="s">
        <v>47</v>
      </c>
      <c r="D341" s="20">
        <v>450</v>
      </c>
      <c r="E341" s="38">
        <v>3200</v>
      </c>
      <c r="F341" s="20" t="s">
        <v>8</v>
      </c>
      <c r="G341" s="43">
        <v>7</v>
      </c>
      <c r="H341" s="43">
        <v>6.4</v>
      </c>
      <c r="I341" s="43">
        <v>0</v>
      </c>
      <c r="J341" s="43">
        <v>0</v>
      </c>
      <c r="K341" s="1">
        <f t="shared" ref="K341" si="990">(IF(F341="SELL",G341-H341,IF(F341="BUY",H341-G341)))*E341</f>
        <v>-1919.9999999999989</v>
      </c>
      <c r="L341" s="43">
        <v>0</v>
      </c>
      <c r="M341" s="43">
        <v>0</v>
      </c>
      <c r="N341" s="1">
        <f t="shared" ref="N341" si="991">(L341+K341+M341)/E341</f>
        <v>-0.59999999999999964</v>
      </c>
      <c r="O341" s="1">
        <f t="shared" ref="O341" si="992">N341*E341</f>
        <v>-1919.9999999999989</v>
      </c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</row>
    <row r="342" spans="1:33" s="32" customFormat="1" ht="15" customHeight="1">
      <c r="A342" s="37">
        <v>44216</v>
      </c>
      <c r="B342" s="57" t="s">
        <v>28</v>
      </c>
      <c r="C342" s="20" t="s">
        <v>47</v>
      </c>
      <c r="D342" s="20">
        <v>610</v>
      </c>
      <c r="E342" s="38">
        <v>1851</v>
      </c>
      <c r="F342" s="20" t="s">
        <v>8</v>
      </c>
      <c r="G342" s="43">
        <v>10</v>
      </c>
      <c r="H342" s="43">
        <v>11.4</v>
      </c>
      <c r="I342" s="43">
        <v>0</v>
      </c>
      <c r="J342" s="43">
        <v>0</v>
      </c>
      <c r="K342" s="1">
        <f t="shared" ref="K342:K343" si="993">(IF(F342="SELL",G342-H342,IF(F342="BUY",H342-G342)))*E342</f>
        <v>2591.4000000000005</v>
      </c>
      <c r="L342" s="43">
        <v>0</v>
      </c>
      <c r="M342" s="43">
        <v>0</v>
      </c>
      <c r="N342" s="1">
        <f t="shared" ref="N342:N343" si="994">(L342+K342+M342)/E342</f>
        <v>1.4000000000000004</v>
      </c>
      <c r="O342" s="1">
        <f t="shared" ref="O342:O343" si="995">N342*E342</f>
        <v>2591.4000000000005</v>
      </c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</row>
    <row r="343" spans="1:33" s="32" customFormat="1" ht="15" customHeight="1">
      <c r="A343" s="37">
        <v>44216</v>
      </c>
      <c r="B343" s="57" t="s">
        <v>501</v>
      </c>
      <c r="C343" s="20" t="s">
        <v>46</v>
      </c>
      <c r="D343" s="20">
        <v>2700</v>
      </c>
      <c r="E343" s="38">
        <v>250</v>
      </c>
      <c r="F343" s="20" t="s">
        <v>8</v>
      </c>
      <c r="G343" s="43">
        <v>56</v>
      </c>
      <c r="H343" s="43">
        <v>53</v>
      </c>
      <c r="I343" s="43">
        <v>0</v>
      </c>
      <c r="J343" s="43">
        <v>0</v>
      </c>
      <c r="K343" s="1">
        <f t="shared" si="993"/>
        <v>-750</v>
      </c>
      <c r="L343" s="43">
        <v>0</v>
      </c>
      <c r="M343" s="43">
        <v>0</v>
      </c>
      <c r="N343" s="1">
        <f t="shared" si="994"/>
        <v>-3</v>
      </c>
      <c r="O343" s="1">
        <f t="shared" si="995"/>
        <v>-750</v>
      </c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</row>
    <row r="344" spans="1:33" s="32" customFormat="1" ht="15" customHeight="1">
      <c r="A344" s="37">
        <v>44216</v>
      </c>
      <c r="B344" s="57" t="s">
        <v>404</v>
      </c>
      <c r="C344" s="20" t="s">
        <v>46</v>
      </c>
      <c r="D344" s="20">
        <v>142.5</v>
      </c>
      <c r="E344" s="38">
        <v>6000</v>
      </c>
      <c r="F344" s="20" t="s">
        <v>8</v>
      </c>
      <c r="G344" s="43">
        <v>3.3</v>
      </c>
      <c r="H344" s="43">
        <v>3.3</v>
      </c>
      <c r="I344" s="43">
        <v>0</v>
      </c>
      <c r="J344" s="43">
        <v>0</v>
      </c>
      <c r="K344" s="1">
        <f t="shared" ref="K344" si="996">(IF(F344="SELL",G344-H344,IF(F344="BUY",H344-G344)))*E344</f>
        <v>0</v>
      </c>
      <c r="L344" s="43">
        <v>0</v>
      </c>
      <c r="M344" s="43">
        <v>0</v>
      </c>
      <c r="N344" s="1">
        <f t="shared" ref="N344" si="997">(L344+K344+M344)/E344</f>
        <v>0</v>
      </c>
      <c r="O344" s="1">
        <f t="shared" ref="O344" si="998">N344*E344</f>
        <v>0</v>
      </c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</row>
    <row r="345" spans="1:33" s="32" customFormat="1" ht="15" customHeight="1">
      <c r="A345" s="37">
        <v>44215</v>
      </c>
      <c r="B345" s="57" t="s">
        <v>502</v>
      </c>
      <c r="C345" s="20" t="s">
        <v>47</v>
      </c>
      <c r="D345" s="20">
        <v>1580</v>
      </c>
      <c r="E345" s="38">
        <v>700</v>
      </c>
      <c r="F345" s="20" t="s">
        <v>8</v>
      </c>
      <c r="G345" s="43">
        <v>20.8</v>
      </c>
      <c r="H345" s="43">
        <v>25</v>
      </c>
      <c r="I345" s="43">
        <v>29.7</v>
      </c>
      <c r="J345" s="43">
        <v>0</v>
      </c>
      <c r="K345" s="1">
        <f t="shared" ref="K345" si="999">(IF(F345="SELL",G345-H345,IF(F345="BUY",H345-G345)))*E345</f>
        <v>2939.9999999999995</v>
      </c>
      <c r="L345" s="43">
        <f>E345*4.7</f>
        <v>3290</v>
      </c>
      <c r="M345" s="43">
        <v>0</v>
      </c>
      <c r="N345" s="1">
        <f t="shared" ref="N345" si="1000">(L345+K345+M345)/E345</f>
        <v>8.9</v>
      </c>
      <c r="O345" s="1">
        <f t="shared" ref="O345" si="1001">N345*E345</f>
        <v>6230</v>
      </c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</row>
    <row r="346" spans="1:33" s="32" customFormat="1" ht="15" customHeight="1">
      <c r="A346" s="37">
        <v>44215</v>
      </c>
      <c r="B346" s="57" t="s">
        <v>28</v>
      </c>
      <c r="C346" s="20" t="s">
        <v>47</v>
      </c>
      <c r="D346" s="20">
        <v>610</v>
      </c>
      <c r="E346" s="38">
        <v>1851</v>
      </c>
      <c r="F346" s="20" t="s">
        <v>8</v>
      </c>
      <c r="G346" s="43">
        <v>9.9</v>
      </c>
      <c r="H346" s="43">
        <v>11.4</v>
      </c>
      <c r="I346" s="43">
        <v>0</v>
      </c>
      <c r="J346" s="43">
        <v>0</v>
      </c>
      <c r="K346" s="1">
        <f t="shared" ref="K346" si="1002">(IF(F346="SELL",G346-H346,IF(F346="BUY",H346-G346)))*E346</f>
        <v>2776.5</v>
      </c>
      <c r="L346" s="43">
        <v>0</v>
      </c>
      <c r="M346" s="43">
        <v>0</v>
      </c>
      <c r="N346" s="1">
        <f t="shared" ref="N346" si="1003">(L346+K346+M346)/E346</f>
        <v>1.5</v>
      </c>
      <c r="O346" s="1">
        <f t="shared" ref="O346" si="1004">N346*E346</f>
        <v>2776.5</v>
      </c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</row>
    <row r="347" spans="1:33" s="32" customFormat="1" ht="15" customHeight="1">
      <c r="A347" s="37">
        <v>44214</v>
      </c>
      <c r="B347" s="57" t="s">
        <v>72</v>
      </c>
      <c r="C347" s="20" t="s">
        <v>47</v>
      </c>
      <c r="D347" s="20">
        <v>410</v>
      </c>
      <c r="E347" s="38">
        <v>1800</v>
      </c>
      <c r="F347" s="20" t="s">
        <v>8</v>
      </c>
      <c r="G347" s="43">
        <v>12.5</v>
      </c>
      <c r="H347" s="43">
        <v>14</v>
      </c>
      <c r="I347" s="43">
        <v>15.75</v>
      </c>
      <c r="J347" s="43">
        <v>0</v>
      </c>
      <c r="K347" s="1">
        <f t="shared" ref="K347" si="1005">(IF(F347="SELL",G347-H347,IF(F347="BUY",H347-G347)))*E347</f>
        <v>2700</v>
      </c>
      <c r="L347" s="43">
        <f>E347*1.75</f>
        <v>3150</v>
      </c>
      <c r="M347" s="43">
        <v>0</v>
      </c>
      <c r="N347" s="1">
        <f t="shared" ref="N347" si="1006">(L347+K347+M347)/E347</f>
        <v>3.25</v>
      </c>
      <c r="O347" s="1">
        <f t="shared" ref="O347" si="1007">N347*E347</f>
        <v>5850</v>
      </c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</row>
    <row r="348" spans="1:33" s="32" customFormat="1" ht="15" customHeight="1">
      <c r="A348" s="37">
        <v>44214</v>
      </c>
      <c r="B348" s="57" t="s">
        <v>22</v>
      </c>
      <c r="C348" s="20" t="s">
        <v>47</v>
      </c>
      <c r="D348" s="20">
        <v>290</v>
      </c>
      <c r="E348" s="38">
        <v>3300</v>
      </c>
      <c r="F348" s="20" t="s">
        <v>8</v>
      </c>
      <c r="G348" s="43">
        <v>9.1999999999999993</v>
      </c>
      <c r="H348" s="43">
        <v>10.5</v>
      </c>
      <c r="I348" s="43">
        <v>0</v>
      </c>
      <c r="J348" s="43">
        <v>0</v>
      </c>
      <c r="K348" s="1">
        <f t="shared" ref="K348" si="1008">(IF(F348="SELL",G348-H348,IF(F348="BUY",H348-G348)))*E348</f>
        <v>4290.0000000000027</v>
      </c>
      <c r="L348" s="43">
        <v>0</v>
      </c>
      <c r="M348" s="43">
        <v>0</v>
      </c>
      <c r="N348" s="1">
        <f t="shared" ref="N348" si="1009">(L348+K348+M348)/E348</f>
        <v>1.3000000000000009</v>
      </c>
      <c r="O348" s="1">
        <f t="shared" ref="O348" si="1010">N348*E348</f>
        <v>4290.0000000000027</v>
      </c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</row>
    <row r="349" spans="1:33" s="32" customFormat="1" ht="15" customHeight="1">
      <c r="A349" s="37">
        <v>44211</v>
      </c>
      <c r="B349" s="57" t="s">
        <v>22</v>
      </c>
      <c r="C349" s="20" t="s">
        <v>47</v>
      </c>
      <c r="D349" s="20">
        <v>290</v>
      </c>
      <c r="E349" s="38">
        <v>3300</v>
      </c>
      <c r="F349" s="20" t="s">
        <v>8</v>
      </c>
      <c r="G349" s="43">
        <v>12.25</v>
      </c>
      <c r="H349" s="43">
        <v>13</v>
      </c>
      <c r="I349" s="43">
        <v>0</v>
      </c>
      <c r="J349" s="43">
        <v>0</v>
      </c>
      <c r="K349" s="1">
        <f t="shared" ref="K349" si="1011">(IF(F349="SELL",G349-H349,IF(F349="BUY",H349-G349)))*E349</f>
        <v>2475</v>
      </c>
      <c r="L349" s="43">
        <v>0</v>
      </c>
      <c r="M349" s="43">
        <v>0</v>
      </c>
      <c r="N349" s="1">
        <f t="shared" ref="N349" si="1012">(L349+K349+M349)/E349</f>
        <v>0.75</v>
      </c>
      <c r="O349" s="1">
        <f t="shared" ref="O349" si="1013">N349*E349</f>
        <v>2475</v>
      </c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</row>
    <row r="350" spans="1:33" s="32" customFormat="1" ht="15" customHeight="1">
      <c r="A350" s="37">
        <v>44211</v>
      </c>
      <c r="B350" s="57" t="s">
        <v>270</v>
      </c>
      <c r="C350" s="20" t="s">
        <v>47</v>
      </c>
      <c r="D350" s="20">
        <v>315</v>
      </c>
      <c r="E350" s="38">
        <v>5000</v>
      </c>
      <c r="F350" s="20" t="s">
        <v>8</v>
      </c>
      <c r="G350" s="43">
        <v>9.8000000000000007</v>
      </c>
      <c r="H350" s="43">
        <v>10.7</v>
      </c>
      <c r="I350" s="43">
        <v>0</v>
      </c>
      <c r="J350" s="43">
        <v>0</v>
      </c>
      <c r="K350" s="1">
        <f t="shared" ref="K350" si="1014">(IF(F350="SELL",G350-H350,IF(F350="BUY",H350-G350)))*E350</f>
        <v>4499.9999999999927</v>
      </c>
      <c r="L350" s="43">
        <v>0</v>
      </c>
      <c r="M350" s="43">
        <v>0</v>
      </c>
      <c r="N350" s="1">
        <f t="shared" ref="N350" si="1015">(L350+K350+M350)/E350</f>
        <v>0.89999999999999858</v>
      </c>
      <c r="O350" s="1">
        <f t="shared" ref="O350" si="1016">N350*E350</f>
        <v>4499.9999999999927</v>
      </c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</row>
    <row r="351" spans="1:33" s="32" customFormat="1" ht="15" customHeight="1">
      <c r="A351" s="37">
        <v>44211</v>
      </c>
      <c r="B351" s="57" t="s">
        <v>109</v>
      </c>
      <c r="C351" s="20" t="s">
        <v>47</v>
      </c>
      <c r="D351" s="20">
        <v>460</v>
      </c>
      <c r="E351" s="38">
        <v>3200</v>
      </c>
      <c r="F351" s="20" t="s">
        <v>8</v>
      </c>
      <c r="G351" s="43">
        <v>10</v>
      </c>
      <c r="H351" s="43">
        <v>11</v>
      </c>
      <c r="I351" s="43">
        <v>0</v>
      </c>
      <c r="J351" s="43">
        <v>0</v>
      </c>
      <c r="K351" s="1">
        <f t="shared" ref="K351" si="1017">(IF(F351="SELL",G351-H351,IF(F351="BUY",H351-G351)))*E351</f>
        <v>3200</v>
      </c>
      <c r="L351" s="43">
        <v>0</v>
      </c>
      <c r="M351" s="43">
        <v>0</v>
      </c>
      <c r="N351" s="1">
        <f t="shared" ref="N351" si="1018">(L351+K351+M351)/E351</f>
        <v>1</v>
      </c>
      <c r="O351" s="1">
        <f t="shared" ref="O351" si="1019">N351*E351</f>
        <v>3200</v>
      </c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</row>
    <row r="352" spans="1:33" s="32" customFormat="1" ht="15" customHeight="1">
      <c r="A352" s="37">
        <v>44210</v>
      </c>
      <c r="B352" s="57" t="s">
        <v>71</v>
      </c>
      <c r="C352" s="20" t="s">
        <v>47</v>
      </c>
      <c r="D352" s="20">
        <v>410</v>
      </c>
      <c r="E352" s="38">
        <v>2700</v>
      </c>
      <c r="F352" s="20" t="s">
        <v>8</v>
      </c>
      <c r="G352" s="43">
        <v>14.1</v>
      </c>
      <c r="H352" s="43">
        <v>14.9</v>
      </c>
      <c r="I352" s="43">
        <v>0</v>
      </c>
      <c r="J352" s="43">
        <v>0</v>
      </c>
      <c r="K352" s="1">
        <f t="shared" ref="K352" si="1020">(IF(F352="SELL",G352-H352,IF(F352="BUY",H352-G352)))*E352</f>
        <v>2160.0000000000018</v>
      </c>
      <c r="L352" s="43">
        <v>0</v>
      </c>
      <c r="M352" s="43">
        <v>0</v>
      </c>
      <c r="N352" s="1">
        <f t="shared" ref="N352" si="1021">(L352+K352+M352)/E352</f>
        <v>0.80000000000000071</v>
      </c>
      <c r="O352" s="1">
        <f t="shared" ref="O352" si="1022">N352*E352</f>
        <v>2160.0000000000018</v>
      </c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</row>
    <row r="353" spans="1:33" s="32" customFormat="1" ht="15" customHeight="1">
      <c r="A353" s="37">
        <v>44210</v>
      </c>
      <c r="B353" s="57" t="s">
        <v>28</v>
      </c>
      <c r="C353" s="20" t="s">
        <v>47</v>
      </c>
      <c r="D353" s="20">
        <v>600</v>
      </c>
      <c r="E353" s="38">
        <v>1851</v>
      </c>
      <c r="F353" s="20" t="s">
        <v>8</v>
      </c>
      <c r="G353" s="43">
        <v>15</v>
      </c>
      <c r="H353" s="43">
        <v>16.7</v>
      </c>
      <c r="I353" s="43">
        <v>0</v>
      </c>
      <c r="J353" s="43">
        <v>0</v>
      </c>
      <c r="K353" s="1">
        <f t="shared" ref="K353" si="1023">(IF(F353="SELL",G353-H353,IF(F353="BUY",H353-G353)))*E353</f>
        <v>3146.6999999999989</v>
      </c>
      <c r="L353" s="43">
        <v>0</v>
      </c>
      <c r="M353" s="43">
        <v>0</v>
      </c>
      <c r="N353" s="1">
        <f t="shared" ref="N353" si="1024">(L353+K353+M353)/E353</f>
        <v>1.6999999999999995</v>
      </c>
      <c r="O353" s="1">
        <f t="shared" ref="O353" si="1025">N353*E353</f>
        <v>3146.6999999999989</v>
      </c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</row>
    <row r="354" spans="1:33" s="32" customFormat="1" ht="15" customHeight="1">
      <c r="A354" s="37">
        <v>44210</v>
      </c>
      <c r="B354" s="57" t="s">
        <v>499</v>
      </c>
      <c r="C354" s="20" t="s">
        <v>47</v>
      </c>
      <c r="D354" s="20">
        <v>400</v>
      </c>
      <c r="E354" s="38">
        <v>1800</v>
      </c>
      <c r="F354" s="20" t="s">
        <v>8</v>
      </c>
      <c r="G354" s="43">
        <v>15</v>
      </c>
      <c r="H354" s="43">
        <v>14</v>
      </c>
      <c r="I354" s="43">
        <v>0</v>
      </c>
      <c r="J354" s="43">
        <v>0</v>
      </c>
      <c r="K354" s="1">
        <f t="shared" ref="K354" si="1026">(IF(F354="SELL",G354-H354,IF(F354="BUY",H354-G354)))*E354</f>
        <v>-1800</v>
      </c>
      <c r="L354" s="43">
        <v>0</v>
      </c>
      <c r="M354" s="43">
        <v>0</v>
      </c>
      <c r="N354" s="1">
        <f t="shared" ref="N354" si="1027">(L354+K354+M354)/E354</f>
        <v>-1</v>
      </c>
      <c r="O354" s="1">
        <f t="shared" ref="O354" si="1028">N354*E354</f>
        <v>-1800</v>
      </c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</row>
    <row r="355" spans="1:33" s="32" customFormat="1" ht="15" customHeight="1">
      <c r="A355" s="37">
        <v>44209</v>
      </c>
      <c r="B355" s="57" t="s">
        <v>409</v>
      </c>
      <c r="C355" s="20" t="s">
        <v>46</v>
      </c>
      <c r="D355" s="20">
        <v>99</v>
      </c>
      <c r="E355" s="38">
        <v>8300</v>
      </c>
      <c r="F355" s="20" t="s">
        <v>8</v>
      </c>
      <c r="G355" s="43">
        <v>5</v>
      </c>
      <c r="H355" s="43">
        <v>5.8</v>
      </c>
      <c r="I355" s="43">
        <v>0</v>
      </c>
      <c r="J355" s="43">
        <v>0</v>
      </c>
      <c r="K355" s="1">
        <f t="shared" ref="K355" si="1029">(IF(F355="SELL",G355-H355,IF(F355="BUY",H355-G355)))*E355</f>
        <v>6639.9999999999982</v>
      </c>
      <c r="L355" s="43">
        <v>0</v>
      </c>
      <c r="M355" s="43">
        <v>0</v>
      </c>
      <c r="N355" s="1">
        <f t="shared" ref="N355" si="1030">(L355+K355+M355)/E355</f>
        <v>0.79999999999999982</v>
      </c>
      <c r="O355" s="1">
        <f t="shared" ref="O355" si="1031">N355*E355</f>
        <v>6639.9999999999982</v>
      </c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</row>
    <row r="356" spans="1:33" s="32" customFormat="1" ht="15" customHeight="1">
      <c r="A356" s="37">
        <v>44209</v>
      </c>
      <c r="B356" s="57" t="s">
        <v>453</v>
      </c>
      <c r="C356" s="20" t="s">
        <v>46</v>
      </c>
      <c r="D356" s="20">
        <v>1300</v>
      </c>
      <c r="E356" s="38">
        <v>550</v>
      </c>
      <c r="F356" s="20" t="s">
        <v>8</v>
      </c>
      <c r="G356" s="43">
        <v>21.6</v>
      </c>
      <c r="H356" s="43">
        <v>27</v>
      </c>
      <c r="I356" s="43">
        <v>0</v>
      </c>
      <c r="J356" s="43">
        <v>0</v>
      </c>
      <c r="K356" s="1">
        <f t="shared" ref="K356" si="1032">(IF(F356="SELL",G356-H356,IF(F356="BUY",H356-G356)))*E356</f>
        <v>2969.9999999999991</v>
      </c>
      <c r="L356" s="43">
        <v>0</v>
      </c>
      <c r="M356" s="43">
        <v>0</v>
      </c>
      <c r="N356" s="1">
        <f t="shared" ref="N356" si="1033">(L356+K356+M356)/E356</f>
        <v>5.3999999999999986</v>
      </c>
      <c r="O356" s="1">
        <f t="shared" ref="O356" si="1034">N356*E356</f>
        <v>2969.9999999999991</v>
      </c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</row>
    <row r="357" spans="1:33" s="32" customFormat="1" ht="15" customHeight="1">
      <c r="A357" s="37">
        <v>44208</v>
      </c>
      <c r="B357" s="57" t="s">
        <v>109</v>
      </c>
      <c r="C357" s="20" t="s">
        <v>47</v>
      </c>
      <c r="D357" s="20">
        <v>460</v>
      </c>
      <c r="E357" s="38">
        <v>3200</v>
      </c>
      <c r="F357" s="20" t="s">
        <v>8</v>
      </c>
      <c r="G357" s="43">
        <v>12</v>
      </c>
      <c r="H357" s="43">
        <v>13</v>
      </c>
      <c r="I357" s="43">
        <v>15</v>
      </c>
      <c r="J357" s="43">
        <v>0</v>
      </c>
      <c r="K357" s="1">
        <f t="shared" ref="K357" si="1035">(IF(F357="SELL",G357-H357,IF(F357="BUY",H357-G357)))*E357</f>
        <v>3200</v>
      </c>
      <c r="L357" s="43">
        <f>E357*2</f>
        <v>6400</v>
      </c>
      <c r="M357" s="43">
        <v>0</v>
      </c>
      <c r="N357" s="1">
        <f t="shared" ref="N357" si="1036">(L357+K357+M357)/E357</f>
        <v>3</v>
      </c>
      <c r="O357" s="1">
        <f t="shared" ref="O357" si="1037">N357*E357</f>
        <v>9600</v>
      </c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</row>
    <row r="358" spans="1:33" s="32" customFormat="1" ht="15" customHeight="1">
      <c r="A358" s="37">
        <v>44208</v>
      </c>
      <c r="B358" s="57" t="s">
        <v>332</v>
      </c>
      <c r="C358" s="20" t="s">
        <v>47</v>
      </c>
      <c r="D358" s="20">
        <v>1100</v>
      </c>
      <c r="E358" s="38">
        <v>1200</v>
      </c>
      <c r="F358" s="20" t="s">
        <v>8</v>
      </c>
      <c r="G358" s="43">
        <v>22.9</v>
      </c>
      <c r="H358" s="43">
        <v>25.9</v>
      </c>
      <c r="I358" s="43">
        <v>0</v>
      </c>
      <c r="J358" s="43">
        <v>0</v>
      </c>
      <c r="K358" s="1">
        <f t="shared" ref="K358" si="1038">(IF(F358="SELL",G358-H358,IF(F358="BUY",H358-G358)))*E358</f>
        <v>3600</v>
      </c>
      <c r="L358" s="43">
        <v>0</v>
      </c>
      <c r="M358" s="43">
        <v>0</v>
      </c>
      <c r="N358" s="1">
        <f t="shared" ref="N358" si="1039">(L358+K358+M358)/E358</f>
        <v>3</v>
      </c>
      <c r="O358" s="1">
        <f t="shared" ref="O358" si="1040">N358*E358</f>
        <v>3600</v>
      </c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</row>
    <row r="359" spans="1:33" s="32" customFormat="1" ht="15" customHeight="1">
      <c r="A359" s="37">
        <v>44208</v>
      </c>
      <c r="B359" s="57" t="s">
        <v>28</v>
      </c>
      <c r="C359" s="20" t="s">
        <v>46</v>
      </c>
      <c r="D359" s="20">
        <v>550</v>
      </c>
      <c r="E359" s="38">
        <v>1851</v>
      </c>
      <c r="F359" s="20" t="s">
        <v>8</v>
      </c>
      <c r="G359" s="43">
        <v>11.8</v>
      </c>
      <c r="H359" s="43">
        <v>11.5</v>
      </c>
      <c r="I359" s="43">
        <v>0</v>
      </c>
      <c r="J359" s="43">
        <v>0</v>
      </c>
      <c r="K359" s="1">
        <f t="shared" ref="K359" si="1041">(IF(F359="SELL",G359-H359,IF(F359="BUY",H359-G359)))*E359</f>
        <v>-555.30000000000132</v>
      </c>
      <c r="L359" s="43">
        <v>0</v>
      </c>
      <c r="M359" s="43">
        <v>0</v>
      </c>
      <c r="N359" s="1">
        <f t="shared" ref="N359" si="1042">(L359+K359+M359)/E359</f>
        <v>-0.30000000000000071</v>
      </c>
      <c r="O359" s="1">
        <f t="shared" ref="O359" si="1043">N359*E359</f>
        <v>-555.30000000000132</v>
      </c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</row>
    <row r="360" spans="1:33" s="32" customFormat="1" ht="15" customHeight="1">
      <c r="A360" s="37">
        <v>44208</v>
      </c>
      <c r="B360" s="57" t="s">
        <v>21</v>
      </c>
      <c r="C360" s="20" t="s">
        <v>46</v>
      </c>
      <c r="D360" s="20">
        <v>280</v>
      </c>
      <c r="E360" s="38">
        <v>3000</v>
      </c>
      <c r="F360" s="20" t="s">
        <v>8</v>
      </c>
      <c r="G360" s="43">
        <v>8</v>
      </c>
      <c r="H360" s="43">
        <v>7</v>
      </c>
      <c r="I360" s="43">
        <v>0</v>
      </c>
      <c r="J360" s="43">
        <v>0</v>
      </c>
      <c r="K360" s="1">
        <f t="shared" ref="K360" si="1044">(IF(F360="SELL",G360-H360,IF(F360="BUY",H360-G360)))*E360</f>
        <v>-3000</v>
      </c>
      <c r="L360" s="43">
        <v>0</v>
      </c>
      <c r="M360" s="43">
        <v>0</v>
      </c>
      <c r="N360" s="1">
        <f t="shared" ref="N360" si="1045">(L360+K360+M360)/E360</f>
        <v>-1</v>
      </c>
      <c r="O360" s="1">
        <f t="shared" ref="O360" si="1046">N360*E360</f>
        <v>-3000</v>
      </c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</row>
    <row r="361" spans="1:33" s="32" customFormat="1" ht="15" customHeight="1">
      <c r="A361" s="37">
        <v>44207</v>
      </c>
      <c r="B361" s="57" t="s">
        <v>35</v>
      </c>
      <c r="C361" s="20" t="s">
        <v>47</v>
      </c>
      <c r="D361" s="20">
        <v>400</v>
      </c>
      <c r="E361" s="38">
        <v>2000</v>
      </c>
      <c r="F361" s="20" t="s">
        <v>8</v>
      </c>
      <c r="G361" s="43">
        <v>7.5</v>
      </c>
      <c r="H361" s="43">
        <v>9</v>
      </c>
      <c r="I361" s="43">
        <v>0</v>
      </c>
      <c r="J361" s="43">
        <v>0</v>
      </c>
      <c r="K361" s="1">
        <f t="shared" ref="K361" si="1047">(IF(F361="SELL",G361-H361,IF(F361="BUY",H361-G361)))*E361</f>
        <v>3000</v>
      </c>
      <c r="L361" s="43">
        <v>0</v>
      </c>
      <c r="M361" s="43">
        <v>0</v>
      </c>
      <c r="N361" s="1">
        <f t="shared" ref="N361" si="1048">(L361+K361+M361)/E361</f>
        <v>1.5</v>
      </c>
      <c r="O361" s="1">
        <f t="shared" ref="O361" si="1049">N361*E361</f>
        <v>3000</v>
      </c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</row>
    <row r="362" spans="1:33" s="32" customFormat="1" ht="15" customHeight="1">
      <c r="A362" s="37">
        <v>44207</v>
      </c>
      <c r="B362" s="57" t="s">
        <v>69</v>
      </c>
      <c r="C362" s="20" t="s">
        <v>47</v>
      </c>
      <c r="D362" s="20">
        <v>175</v>
      </c>
      <c r="E362" s="38">
        <v>7000</v>
      </c>
      <c r="F362" s="20" t="s">
        <v>8</v>
      </c>
      <c r="G362" s="43">
        <v>5.75</v>
      </c>
      <c r="H362" s="43">
        <v>6.1</v>
      </c>
      <c r="I362" s="43">
        <v>0</v>
      </c>
      <c r="J362" s="43">
        <v>0</v>
      </c>
      <c r="K362" s="1">
        <f t="shared" ref="K362" si="1050">(IF(F362="SELL",G362-H362,IF(F362="BUY",H362-G362)))*E362</f>
        <v>2449.9999999999977</v>
      </c>
      <c r="L362" s="43">
        <v>0</v>
      </c>
      <c r="M362" s="43">
        <v>0</v>
      </c>
      <c r="N362" s="1">
        <f t="shared" ref="N362" si="1051">(L362+K362+M362)/E362</f>
        <v>0.3499999999999997</v>
      </c>
      <c r="O362" s="1">
        <f t="shared" ref="O362" si="1052">N362*E362</f>
        <v>2449.9999999999977</v>
      </c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</row>
    <row r="363" spans="1:33" s="32" customFormat="1" ht="15" customHeight="1">
      <c r="A363" s="37">
        <v>44207</v>
      </c>
      <c r="B363" s="57" t="s">
        <v>36</v>
      </c>
      <c r="C363" s="20" t="s">
        <v>47</v>
      </c>
      <c r="D363" s="20">
        <v>98</v>
      </c>
      <c r="E363" s="38">
        <v>6500</v>
      </c>
      <c r="F363" s="20" t="s">
        <v>8</v>
      </c>
      <c r="G363" s="43">
        <v>3</v>
      </c>
      <c r="H363" s="43">
        <v>3</v>
      </c>
      <c r="I363" s="43">
        <v>0</v>
      </c>
      <c r="J363" s="43">
        <v>0</v>
      </c>
      <c r="K363" s="1">
        <f t="shared" ref="K363" si="1053">(IF(F363="SELL",G363-H363,IF(F363="BUY",H363-G363)))*E363</f>
        <v>0</v>
      </c>
      <c r="L363" s="43">
        <v>0</v>
      </c>
      <c r="M363" s="43">
        <v>0</v>
      </c>
      <c r="N363" s="1">
        <f t="shared" ref="N363" si="1054">(L363+K363+M363)/E363</f>
        <v>0</v>
      </c>
      <c r="O363" s="1">
        <f t="shared" ref="O363" si="1055">N363*E363</f>
        <v>0</v>
      </c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</row>
    <row r="364" spans="1:33" s="32" customFormat="1" ht="15" customHeight="1">
      <c r="A364" s="37">
        <v>44204</v>
      </c>
      <c r="B364" s="57" t="s">
        <v>326</v>
      </c>
      <c r="C364" s="20" t="s">
        <v>47</v>
      </c>
      <c r="D364" s="20">
        <v>210</v>
      </c>
      <c r="E364" s="38">
        <v>4000</v>
      </c>
      <c r="F364" s="20" t="s">
        <v>8</v>
      </c>
      <c r="G364" s="43">
        <v>3</v>
      </c>
      <c r="H364" s="43">
        <v>3.7</v>
      </c>
      <c r="I364" s="43">
        <v>0</v>
      </c>
      <c r="J364" s="43">
        <v>0</v>
      </c>
      <c r="K364" s="1">
        <f t="shared" ref="K364" si="1056">(IF(F364="SELL",G364-H364,IF(F364="BUY",H364-G364)))*E364</f>
        <v>2800.0000000000009</v>
      </c>
      <c r="L364" s="43">
        <v>0</v>
      </c>
      <c r="M364" s="43">
        <v>0</v>
      </c>
      <c r="N364" s="1">
        <f t="shared" ref="N364" si="1057">(L364+K364+M364)/E364</f>
        <v>0.70000000000000018</v>
      </c>
      <c r="O364" s="1">
        <f t="shared" ref="O364" si="1058">N364*E364</f>
        <v>2800.0000000000009</v>
      </c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</row>
    <row r="365" spans="1:33" s="32" customFormat="1" ht="15" customHeight="1">
      <c r="A365" s="37">
        <v>44204</v>
      </c>
      <c r="B365" s="57" t="s">
        <v>43</v>
      </c>
      <c r="C365" s="20" t="s">
        <v>47</v>
      </c>
      <c r="D365" s="20">
        <v>1480</v>
      </c>
      <c r="E365" s="38">
        <v>550</v>
      </c>
      <c r="F365" s="20" t="s">
        <v>8</v>
      </c>
      <c r="G365" s="43">
        <v>24</v>
      </c>
      <c r="H365" s="43">
        <v>25.2</v>
      </c>
      <c r="I365" s="43">
        <v>0</v>
      </c>
      <c r="J365" s="43">
        <v>0</v>
      </c>
      <c r="K365" s="1">
        <f t="shared" ref="K365" si="1059">(IF(F365="SELL",G365-H365,IF(F365="BUY",H365-G365)))*E365</f>
        <v>659.99999999999966</v>
      </c>
      <c r="L365" s="43">
        <v>0</v>
      </c>
      <c r="M365" s="43">
        <v>0</v>
      </c>
      <c r="N365" s="1">
        <f t="shared" ref="N365" si="1060">(L365+K365+M365)/E365</f>
        <v>1.1999999999999993</v>
      </c>
      <c r="O365" s="1">
        <f t="shared" ref="O365" si="1061">N365*E365</f>
        <v>659.99999999999966</v>
      </c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</row>
    <row r="366" spans="1:33" s="32" customFormat="1" ht="15" customHeight="1">
      <c r="A366" s="37">
        <v>44204</v>
      </c>
      <c r="B366" s="57" t="s">
        <v>473</v>
      </c>
      <c r="C366" s="20" t="s">
        <v>47</v>
      </c>
      <c r="D366" s="20">
        <v>210</v>
      </c>
      <c r="E366" s="38">
        <v>3200</v>
      </c>
      <c r="F366" s="20" t="s">
        <v>8</v>
      </c>
      <c r="G366" s="43">
        <v>4.5</v>
      </c>
      <c r="H366" s="43">
        <v>5.2</v>
      </c>
      <c r="I366" s="43">
        <v>0</v>
      </c>
      <c r="J366" s="43">
        <v>0</v>
      </c>
      <c r="K366" s="1">
        <f t="shared" ref="K366" si="1062">(IF(F366="SELL",G366-H366,IF(F366="BUY",H366-G366)))*E366</f>
        <v>2240.0000000000005</v>
      </c>
      <c r="L366" s="43">
        <v>0</v>
      </c>
      <c r="M366" s="43">
        <v>0</v>
      </c>
      <c r="N366" s="1">
        <f t="shared" ref="N366" si="1063">(L366+K366+M366)/E366</f>
        <v>0.70000000000000018</v>
      </c>
      <c r="O366" s="1">
        <f t="shared" ref="O366" si="1064">N366*E366</f>
        <v>2240.0000000000005</v>
      </c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</row>
    <row r="367" spans="1:33" s="32" customFormat="1" ht="15" customHeight="1">
      <c r="A367" s="37">
        <v>44203</v>
      </c>
      <c r="B367" s="57" t="s">
        <v>357</v>
      </c>
      <c r="C367" s="20" t="s">
        <v>47</v>
      </c>
      <c r="D367" s="20">
        <v>1740</v>
      </c>
      <c r="E367" s="38">
        <v>800</v>
      </c>
      <c r="F367" s="20" t="s">
        <v>8</v>
      </c>
      <c r="G367" s="43">
        <v>52</v>
      </c>
      <c r="H367" s="43">
        <v>60</v>
      </c>
      <c r="I367" s="43">
        <v>61.7</v>
      </c>
      <c r="J367" s="43">
        <v>0</v>
      </c>
      <c r="K367" s="1">
        <f t="shared" ref="K367" si="1065">(IF(F367="SELL",G367-H367,IF(F367="BUY",H367-G367)))*E367</f>
        <v>6400</v>
      </c>
      <c r="L367" s="43">
        <f>E367*1.7</f>
        <v>1360</v>
      </c>
      <c r="M367" s="43">
        <v>0</v>
      </c>
      <c r="N367" s="1">
        <f t="shared" ref="N367" si="1066">(L367+K367+M367)/E367</f>
        <v>9.6999999999999993</v>
      </c>
      <c r="O367" s="1">
        <f t="shared" ref="O367" si="1067">N367*E367</f>
        <v>7759.9999999999991</v>
      </c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</row>
    <row r="368" spans="1:33" s="32" customFormat="1" ht="15" customHeight="1">
      <c r="A368" s="37">
        <v>44203</v>
      </c>
      <c r="B368" s="57" t="s">
        <v>109</v>
      </c>
      <c r="C368" s="20" t="s">
        <v>47</v>
      </c>
      <c r="D368" s="20">
        <v>420</v>
      </c>
      <c r="E368" s="38">
        <v>3200</v>
      </c>
      <c r="F368" s="20" t="s">
        <v>8</v>
      </c>
      <c r="G368" s="43">
        <v>11</v>
      </c>
      <c r="H368" s="43">
        <v>11.9</v>
      </c>
      <c r="I368" s="43">
        <v>0</v>
      </c>
      <c r="J368" s="43">
        <v>0</v>
      </c>
      <c r="K368" s="1">
        <f t="shared" ref="K368" si="1068">(IF(F368="SELL",G368-H368,IF(F368="BUY",H368-G368)))*E368</f>
        <v>2880.0000000000009</v>
      </c>
      <c r="L368" s="43">
        <v>0</v>
      </c>
      <c r="M368" s="43">
        <v>0</v>
      </c>
      <c r="N368" s="1">
        <f t="shared" ref="N368" si="1069">(L368+K368+M368)/E368</f>
        <v>0.90000000000000024</v>
      </c>
      <c r="O368" s="1">
        <f t="shared" ref="O368" si="1070">N368*E368</f>
        <v>2880.0000000000009</v>
      </c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</row>
    <row r="369" spans="1:33" s="32" customFormat="1" ht="15" customHeight="1">
      <c r="A369" s="37">
        <v>44202</v>
      </c>
      <c r="B369" s="57" t="s">
        <v>453</v>
      </c>
      <c r="C369" s="20" t="s">
        <v>47</v>
      </c>
      <c r="D369" s="20">
        <v>1320</v>
      </c>
      <c r="E369" s="38">
        <v>550</v>
      </c>
      <c r="F369" s="20" t="s">
        <v>8</v>
      </c>
      <c r="G369" s="43">
        <v>51</v>
      </c>
      <c r="H369" s="43">
        <v>50</v>
      </c>
      <c r="I369" s="43">
        <v>0</v>
      </c>
      <c r="J369" s="43">
        <v>0</v>
      </c>
      <c r="K369" s="1">
        <f t="shared" ref="K369" si="1071">(IF(F369="SELL",G369-H369,IF(F369="BUY",H369-G369)))*E369</f>
        <v>-550</v>
      </c>
      <c r="L369" s="43">
        <v>0</v>
      </c>
      <c r="M369" s="43">
        <v>0</v>
      </c>
      <c r="N369" s="1">
        <f t="shared" ref="N369" si="1072">(L369+K369+M369)/E369</f>
        <v>-1</v>
      </c>
      <c r="O369" s="1">
        <f t="shared" ref="O369" si="1073">N369*E369</f>
        <v>-550</v>
      </c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</row>
    <row r="370" spans="1:33" s="32" customFormat="1" ht="15" customHeight="1">
      <c r="A370" s="37">
        <v>44202</v>
      </c>
      <c r="B370" s="57" t="s">
        <v>103</v>
      </c>
      <c r="C370" s="20" t="s">
        <v>47</v>
      </c>
      <c r="D370" s="20">
        <v>102.5</v>
      </c>
      <c r="E370" s="38">
        <v>9000</v>
      </c>
      <c r="F370" s="20" t="s">
        <v>8</v>
      </c>
      <c r="G370" s="43">
        <v>4</v>
      </c>
      <c r="H370" s="43">
        <v>3.7</v>
      </c>
      <c r="I370" s="43">
        <v>0</v>
      </c>
      <c r="J370" s="43">
        <v>0</v>
      </c>
      <c r="K370" s="1">
        <f t="shared" ref="K370" si="1074">(IF(F370="SELL",G370-H370,IF(F370="BUY",H370-G370)))*E370</f>
        <v>-2699.9999999999982</v>
      </c>
      <c r="L370" s="43">
        <v>0</v>
      </c>
      <c r="M370" s="43">
        <v>0</v>
      </c>
      <c r="N370" s="1">
        <f t="shared" ref="N370" si="1075">(L370+K370+M370)/E370</f>
        <v>-0.29999999999999982</v>
      </c>
      <c r="O370" s="1">
        <f t="shared" ref="O370" si="1076">N370*E370</f>
        <v>-2699.9999999999982</v>
      </c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</row>
    <row r="371" spans="1:33" s="32" customFormat="1" ht="15" customHeight="1">
      <c r="A371" s="37">
        <v>44201</v>
      </c>
      <c r="B371" s="57" t="s">
        <v>409</v>
      </c>
      <c r="C371" s="20" t="s">
        <v>47</v>
      </c>
      <c r="D371" s="20">
        <v>97</v>
      </c>
      <c r="E371" s="38">
        <v>8300</v>
      </c>
      <c r="F371" s="20" t="s">
        <v>8</v>
      </c>
      <c r="G371" s="43">
        <v>4.8499999999999996</v>
      </c>
      <c r="H371" s="43">
        <v>5.4</v>
      </c>
      <c r="I371" s="43">
        <v>6.25</v>
      </c>
      <c r="J371" s="43">
        <v>0</v>
      </c>
      <c r="K371" s="1">
        <f t="shared" ref="K371" si="1077">(IF(F371="SELL",G371-H371,IF(F371="BUY",H371-G371)))*E371</f>
        <v>4565.0000000000055</v>
      </c>
      <c r="L371" s="43">
        <f>E371*0.85</f>
        <v>7055</v>
      </c>
      <c r="M371" s="43">
        <v>0</v>
      </c>
      <c r="N371" s="1">
        <f t="shared" ref="N371" si="1078">(L371+K371+M371)/E371</f>
        <v>1.4000000000000006</v>
      </c>
      <c r="O371" s="1">
        <f t="shared" ref="O371" si="1079">N371*E371</f>
        <v>11620.000000000005</v>
      </c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</row>
    <row r="372" spans="1:33" s="32" customFormat="1" ht="15" customHeight="1">
      <c r="A372" s="37">
        <v>44201</v>
      </c>
      <c r="B372" s="57" t="s">
        <v>368</v>
      </c>
      <c r="C372" s="20" t="s">
        <v>47</v>
      </c>
      <c r="D372" s="20">
        <v>230</v>
      </c>
      <c r="E372" s="38">
        <v>3000</v>
      </c>
      <c r="F372" s="20" t="s">
        <v>8</v>
      </c>
      <c r="G372" s="43">
        <v>10.3</v>
      </c>
      <c r="H372" s="43">
        <v>11.5</v>
      </c>
      <c r="I372" s="43">
        <v>0</v>
      </c>
      <c r="J372" s="43">
        <v>0</v>
      </c>
      <c r="K372" s="1">
        <f t="shared" ref="K372" si="1080">(IF(F372="SELL",G372-H372,IF(F372="BUY",H372-G372)))*E372</f>
        <v>3599.9999999999977</v>
      </c>
      <c r="L372" s="43">
        <v>0</v>
      </c>
      <c r="M372" s="43">
        <v>0</v>
      </c>
      <c r="N372" s="1">
        <f t="shared" ref="N372" si="1081">(L372+K372+M372)/E372</f>
        <v>1.1999999999999993</v>
      </c>
      <c r="O372" s="1">
        <f t="shared" ref="O372" si="1082">N372*E372</f>
        <v>3599.9999999999977</v>
      </c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</row>
    <row r="373" spans="1:33" s="32" customFormat="1" ht="15" customHeight="1">
      <c r="A373" s="37">
        <v>44200</v>
      </c>
      <c r="B373" s="57" t="s">
        <v>22</v>
      </c>
      <c r="C373" s="20" t="s">
        <v>47</v>
      </c>
      <c r="D373" s="20">
        <v>245</v>
      </c>
      <c r="E373" s="38">
        <v>3300</v>
      </c>
      <c r="F373" s="20" t="s">
        <v>8</v>
      </c>
      <c r="G373" s="43">
        <v>11</v>
      </c>
      <c r="H373" s="43">
        <v>12</v>
      </c>
      <c r="I373" s="43">
        <v>14</v>
      </c>
      <c r="J373" s="43">
        <v>0</v>
      </c>
      <c r="K373" s="1">
        <f t="shared" ref="K373" si="1083">(IF(F373="SELL",G373-H373,IF(F373="BUY",H373-G373)))*E373</f>
        <v>3300</v>
      </c>
      <c r="L373" s="43">
        <f>E373*2</f>
        <v>6600</v>
      </c>
      <c r="M373" s="43">
        <v>0</v>
      </c>
      <c r="N373" s="1">
        <f t="shared" ref="N373" si="1084">(L373+K373+M373)/E373</f>
        <v>3</v>
      </c>
      <c r="O373" s="1">
        <f t="shared" ref="O373" si="1085">N373*E373</f>
        <v>9900</v>
      </c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</row>
    <row r="374" spans="1:33" s="32" customFormat="1" ht="15" customHeight="1">
      <c r="A374" s="37">
        <v>44200</v>
      </c>
      <c r="B374" s="57" t="s">
        <v>502</v>
      </c>
      <c r="C374" s="20" t="s">
        <v>47</v>
      </c>
      <c r="D374" s="20">
        <v>1580</v>
      </c>
      <c r="E374" s="38">
        <v>700</v>
      </c>
      <c r="F374" s="20" t="s">
        <v>8</v>
      </c>
      <c r="G374" s="43">
        <v>40.5</v>
      </c>
      <c r="H374" s="43">
        <v>44.5</v>
      </c>
      <c r="I374" s="43">
        <v>0</v>
      </c>
      <c r="J374" s="43">
        <v>0</v>
      </c>
      <c r="K374" s="1">
        <f t="shared" ref="K374" si="1086">(IF(F374="SELL",G374-H374,IF(F374="BUY",H374-G374)))*E374</f>
        <v>2800</v>
      </c>
      <c r="L374" s="43">
        <v>0</v>
      </c>
      <c r="M374" s="43">
        <v>0</v>
      </c>
      <c r="N374" s="1">
        <f t="shared" ref="N374" si="1087">(L374+K374+M374)/E374</f>
        <v>4</v>
      </c>
      <c r="O374" s="1">
        <f t="shared" ref="O374" si="1088">N374*E374</f>
        <v>2800</v>
      </c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</row>
    <row r="375" spans="1:33" s="32" customFormat="1" ht="15" customHeight="1">
      <c r="A375" s="37">
        <v>44200</v>
      </c>
      <c r="B375" s="57" t="s">
        <v>493</v>
      </c>
      <c r="C375" s="20" t="s">
        <v>47</v>
      </c>
      <c r="D375" s="20">
        <v>1080</v>
      </c>
      <c r="E375" s="38">
        <v>600</v>
      </c>
      <c r="F375" s="20" t="s">
        <v>8</v>
      </c>
      <c r="G375" s="43">
        <v>44</v>
      </c>
      <c r="H375" s="43">
        <v>39</v>
      </c>
      <c r="I375" s="43">
        <v>0</v>
      </c>
      <c r="J375" s="43">
        <v>0</v>
      </c>
      <c r="K375" s="1">
        <f t="shared" ref="K375" si="1089">(IF(F375="SELL",G375-H375,IF(F375="BUY",H375-G375)))*E375</f>
        <v>-3000</v>
      </c>
      <c r="L375" s="43">
        <v>0</v>
      </c>
      <c r="M375" s="43">
        <v>0</v>
      </c>
      <c r="N375" s="1">
        <f t="shared" ref="N375" si="1090">(L375+K375+M375)/E375</f>
        <v>-5</v>
      </c>
      <c r="O375" s="1">
        <f t="shared" ref="O375" si="1091">N375*E375</f>
        <v>-3000</v>
      </c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</row>
    <row r="376" spans="1:33" s="32" customFormat="1" ht="15" customHeight="1">
      <c r="A376" s="37">
        <v>44197</v>
      </c>
      <c r="B376" s="57" t="s">
        <v>15</v>
      </c>
      <c r="C376" s="20" t="s">
        <v>47</v>
      </c>
      <c r="D376" s="20">
        <v>500</v>
      </c>
      <c r="E376" s="38">
        <v>1400</v>
      </c>
      <c r="F376" s="20" t="s">
        <v>8</v>
      </c>
      <c r="G376" s="43">
        <v>19</v>
      </c>
      <c r="H376" s="43">
        <v>20.3</v>
      </c>
      <c r="I376" s="43">
        <v>20.8</v>
      </c>
      <c r="J376" s="43">
        <v>0</v>
      </c>
      <c r="K376" s="1">
        <f t="shared" ref="K376" si="1092">(IF(F376="SELL",G376-H376,IF(F376="BUY",H376-G376)))*E376</f>
        <v>1820.0000000000009</v>
      </c>
      <c r="L376" s="43">
        <f>E376*0.5</f>
        <v>700</v>
      </c>
      <c r="M376" s="43">
        <v>0</v>
      </c>
      <c r="N376" s="1">
        <f t="shared" ref="N376" si="1093">(L376+K376+M376)/E376</f>
        <v>1.8000000000000007</v>
      </c>
      <c r="O376" s="1">
        <f t="shared" ref="O376" si="1094">N376*E376</f>
        <v>2520.0000000000009</v>
      </c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</row>
    <row r="377" spans="1:33" s="32" customFormat="1" ht="15" customHeight="1">
      <c r="A377" s="37">
        <v>44197</v>
      </c>
      <c r="B377" s="57" t="s">
        <v>63</v>
      </c>
      <c r="C377" s="20" t="s">
        <v>47</v>
      </c>
      <c r="D377" s="20">
        <v>225</v>
      </c>
      <c r="E377" s="38">
        <v>2700</v>
      </c>
      <c r="F377" s="20" t="s">
        <v>8</v>
      </c>
      <c r="G377" s="43">
        <v>7</v>
      </c>
      <c r="H377" s="43">
        <v>7.5</v>
      </c>
      <c r="I377" s="43">
        <v>0</v>
      </c>
      <c r="J377" s="43">
        <v>0</v>
      </c>
      <c r="K377" s="1">
        <f t="shared" ref="K377" si="1095">(IF(F377="SELL",G377-H377,IF(F377="BUY",H377-G377)))*E377</f>
        <v>1350</v>
      </c>
      <c r="L377" s="43">
        <v>0</v>
      </c>
      <c r="M377" s="43">
        <v>0</v>
      </c>
      <c r="N377" s="1">
        <f t="shared" ref="N377" si="1096">(L377+K377+M377)/E377</f>
        <v>0.5</v>
      </c>
      <c r="O377" s="1">
        <f t="shared" ref="O377" si="1097">N377*E377</f>
        <v>1350</v>
      </c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</row>
    <row r="378" spans="1:33" s="32" customFormat="1" ht="15" customHeight="1">
      <c r="A378" s="37">
        <v>44196</v>
      </c>
      <c r="B378" s="57" t="s">
        <v>106</v>
      </c>
      <c r="C378" s="20" t="s">
        <v>47</v>
      </c>
      <c r="D378" s="20">
        <v>5200</v>
      </c>
      <c r="E378" s="38">
        <v>125</v>
      </c>
      <c r="F378" s="20" t="s">
        <v>8</v>
      </c>
      <c r="G378" s="43">
        <v>30</v>
      </c>
      <c r="H378" s="43">
        <v>55</v>
      </c>
      <c r="I378" s="43">
        <v>0</v>
      </c>
      <c r="J378" s="43">
        <v>0</v>
      </c>
      <c r="K378" s="1">
        <f t="shared" ref="K378" si="1098">(IF(F378="SELL",G378-H378,IF(F378="BUY",H378-G378)))*E378</f>
        <v>3125</v>
      </c>
      <c r="L378" s="43">
        <v>0</v>
      </c>
      <c r="M378" s="43">
        <v>0</v>
      </c>
      <c r="N378" s="1">
        <f t="shared" ref="N378" si="1099">(L378+K378+M378)/E378</f>
        <v>25</v>
      </c>
      <c r="O378" s="1">
        <f t="shared" ref="O378" si="1100">N378*E378</f>
        <v>3125</v>
      </c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</row>
    <row r="379" spans="1:33" s="32" customFormat="1" ht="15" customHeight="1">
      <c r="A379" s="37">
        <v>44195</v>
      </c>
      <c r="B379" s="57" t="s">
        <v>369</v>
      </c>
      <c r="C379" s="20" t="s">
        <v>47</v>
      </c>
      <c r="D379" s="20">
        <v>130</v>
      </c>
      <c r="E379" s="38">
        <v>5000</v>
      </c>
      <c r="F379" s="20" t="s">
        <v>8</v>
      </c>
      <c r="G379" s="43">
        <v>2</v>
      </c>
      <c r="H379" s="43">
        <v>1.3</v>
      </c>
      <c r="I379" s="43">
        <v>0</v>
      </c>
      <c r="J379" s="43">
        <v>0</v>
      </c>
      <c r="K379" s="1">
        <f t="shared" ref="K379" si="1101">(IF(F379="SELL",G379-H379,IF(F379="BUY",H379-G379)))*E379</f>
        <v>-3500</v>
      </c>
      <c r="L379" s="43">
        <v>0</v>
      </c>
      <c r="M379" s="43">
        <v>0</v>
      </c>
      <c r="N379" s="1">
        <f t="shared" ref="N379" si="1102">(L379+K379+M379)/E379</f>
        <v>-0.7</v>
      </c>
      <c r="O379" s="1">
        <f t="shared" ref="O379" si="1103">N379*E379</f>
        <v>-3500</v>
      </c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</row>
    <row r="380" spans="1:33" s="32" customFormat="1" ht="15" customHeight="1">
      <c r="A380" s="37">
        <v>44195</v>
      </c>
      <c r="B380" s="57" t="s">
        <v>21</v>
      </c>
      <c r="C380" s="20" t="s">
        <v>46</v>
      </c>
      <c r="D380" s="20">
        <v>275</v>
      </c>
      <c r="E380" s="38">
        <v>3000</v>
      </c>
      <c r="F380" s="20" t="s">
        <v>8</v>
      </c>
      <c r="G380" s="43">
        <v>2</v>
      </c>
      <c r="H380" s="43">
        <v>1.35</v>
      </c>
      <c r="I380" s="43">
        <v>0</v>
      </c>
      <c r="J380" s="43">
        <v>0</v>
      </c>
      <c r="K380" s="1">
        <f t="shared" ref="K380" si="1104">(IF(F380="SELL",G380-H380,IF(F380="BUY",H380-G380)))*E380</f>
        <v>-1949.9999999999998</v>
      </c>
      <c r="L380" s="43">
        <v>0</v>
      </c>
      <c r="M380" s="43">
        <v>0</v>
      </c>
      <c r="N380" s="1">
        <f t="shared" ref="N380" si="1105">(L380+K380+M380)/E380</f>
        <v>-0.64999999999999991</v>
      </c>
      <c r="O380" s="1">
        <f t="shared" ref="O380" si="1106">N380*E380</f>
        <v>-1949.9999999999998</v>
      </c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</row>
    <row r="381" spans="1:33" s="32" customFormat="1" ht="15" customHeight="1">
      <c r="A381" s="37">
        <v>44195</v>
      </c>
      <c r="B381" s="57" t="s">
        <v>109</v>
      </c>
      <c r="C381" s="20" t="s">
        <v>47</v>
      </c>
      <c r="D381" s="20">
        <v>385</v>
      </c>
      <c r="E381" s="38">
        <v>3000</v>
      </c>
      <c r="F381" s="20" t="s">
        <v>8</v>
      </c>
      <c r="G381" s="43">
        <v>2.6</v>
      </c>
      <c r="H381" s="43">
        <v>1.5</v>
      </c>
      <c r="I381" s="43">
        <v>0</v>
      </c>
      <c r="J381" s="43">
        <v>0</v>
      </c>
      <c r="K381" s="1">
        <f t="shared" ref="K381" si="1107">(IF(F381="SELL",G381-H381,IF(F381="BUY",H381-G381)))*E381</f>
        <v>-3300.0000000000005</v>
      </c>
      <c r="L381" s="43">
        <v>0</v>
      </c>
      <c r="M381" s="43">
        <v>0</v>
      </c>
      <c r="N381" s="1">
        <f t="shared" ref="N381" si="1108">(L381+K381+M381)/E381</f>
        <v>-1.1000000000000001</v>
      </c>
      <c r="O381" s="1">
        <f t="shared" ref="O381" si="1109">N381*E381</f>
        <v>-3300.0000000000005</v>
      </c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</row>
    <row r="382" spans="1:33" s="32" customFormat="1" ht="15" customHeight="1">
      <c r="A382" s="37">
        <v>44194</v>
      </c>
      <c r="B382" s="57" t="s">
        <v>357</v>
      </c>
      <c r="C382" s="20" t="s">
        <v>47</v>
      </c>
      <c r="D382" s="20">
        <v>1620</v>
      </c>
      <c r="E382" s="38">
        <v>800</v>
      </c>
      <c r="F382" s="20" t="s">
        <v>8</v>
      </c>
      <c r="G382" s="43">
        <v>30</v>
      </c>
      <c r="H382" s="43">
        <v>34</v>
      </c>
      <c r="I382" s="43">
        <v>0</v>
      </c>
      <c r="J382" s="43">
        <v>0</v>
      </c>
      <c r="K382" s="1">
        <f t="shared" ref="K382" si="1110">(IF(F382="SELL",G382-H382,IF(F382="BUY",H382-G382)))*E382</f>
        <v>3200</v>
      </c>
      <c r="L382" s="43">
        <v>0</v>
      </c>
      <c r="M382" s="43">
        <v>0</v>
      </c>
      <c r="N382" s="1">
        <f t="shared" ref="N382" si="1111">(L382+K382+M382)/E382</f>
        <v>4</v>
      </c>
      <c r="O382" s="1">
        <f t="shared" ref="O382" si="1112">N382*E382</f>
        <v>3200</v>
      </c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</row>
    <row r="383" spans="1:33" s="32" customFormat="1" ht="15" customHeight="1">
      <c r="A383" s="37">
        <v>44194</v>
      </c>
      <c r="B383" s="57" t="s">
        <v>98</v>
      </c>
      <c r="C383" s="20" t="s">
        <v>47</v>
      </c>
      <c r="D383" s="20">
        <v>460</v>
      </c>
      <c r="E383" s="38">
        <v>2300</v>
      </c>
      <c r="F383" s="20" t="s">
        <v>8</v>
      </c>
      <c r="G383" s="43">
        <v>8</v>
      </c>
      <c r="H383" s="43">
        <v>6.8</v>
      </c>
      <c r="I383" s="43">
        <v>0</v>
      </c>
      <c r="J383" s="43">
        <v>0</v>
      </c>
      <c r="K383" s="1">
        <f t="shared" ref="K383" si="1113">(IF(F383="SELL",G383-H383,IF(F383="BUY",H383-G383)))*E383</f>
        <v>-2760.0000000000005</v>
      </c>
      <c r="L383" s="43">
        <v>0</v>
      </c>
      <c r="M383" s="43">
        <v>0</v>
      </c>
      <c r="N383" s="1">
        <f t="shared" ref="N383" si="1114">(L383+K383+M383)/E383</f>
        <v>-1.2000000000000002</v>
      </c>
      <c r="O383" s="1">
        <f t="shared" ref="O383" si="1115">N383*E383</f>
        <v>-2760.0000000000005</v>
      </c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</row>
    <row r="384" spans="1:33" s="32" customFormat="1" ht="15" customHeight="1">
      <c r="A384" s="37">
        <v>44194</v>
      </c>
      <c r="B384" s="57" t="s">
        <v>109</v>
      </c>
      <c r="C384" s="20" t="s">
        <v>47</v>
      </c>
      <c r="D384" s="20">
        <v>390</v>
      </c>
      <c r="E384" s="38">
        <v>3200</v>
      </c>
      <c r="F384" s="20" t="s">
        <v>8</v>
      </c>
      <c r="G384" s="43">
        <v>2.8</v>
      </c>
      <c r="H384" s="43">
        <v>3.8</v>
      </c>
      <c r="I384" s="43">
        <v>0</v>
      </c>
      <c r="J384" s="43">
        <v>0</v>
      </c>
      <c r="K384" s="1">
        <f t="shared" ref="K384" si="1116">(IF(F384="SELL",G384-H384,IF(F384="BUY",H384-G384)))*E384</f>
        <v>3200</v>
      </c>
      <c r="L384" s="43">
        <v>0</v>
      </c>
      <c r="M384" s="43">
        <v>0</v>
      </c>
      <c r="N384" s="1">
        <f t="shared" ref="N384" si="1117">(L384+K384+M384)/E384</f>
        <v>1</v>
      </c>
      <c r="O384" s="1">
        <f t="shared" ref="O384" si="1118">N384*E384</f>
        <v>3200</v>
      </c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</row>
    <row r="385" spans="1:33" s="32" customFormat="1" ht="15" customHeight="1">
      <c r="A385" s="37">
        <v>44193</v>
      </c>
      <c r="B385" s="57" t="s">
        <v>131</v>
      </c>
      <c r="C385" s="20" t="s">
        <v>47</v>
      </c>
      <c r="D385" s="20">
        <v>245</v>
      </c>
      <c r="E385" s="38">
        <v>3000</v>
      </c>
      <c r="F385" s="20" t="s">
        <v>8</v>
      </c>
      <c r="G385" s="43">
        <v>5.3</v>
      </c>
      <c r="H385" s="43">
        <v>5.3</v>
      </c>
      <c r="I385" s="43">
        <v>0</v>
      </c>
      <c r="J385" s="43">
        <v>0</v>
      </c>
      <c r="K385" s="1">
        <f t="shared" ref="K385" si="1119">(IF(F385="SELL",G385-H385,IF(F385="BUY",H385-G385)))*E385</f>
        <v>0</v>
      </c>
      <c r="L385" s="43">
        <v>0</v>
      </c>
      <c r="M385" s="43">
        <v>0</v>
      </c>
      <c r="N385" s="1">
        <f t="shared" ref="N385" si="1120">(L385+K385+M385)/E385</f>
        <v>0</v>
      </c>
      <c r="O385" s="1">
        <f t="shared" ref="O385" si="1121">N385*E385</f>
        <v>0</v>
      </c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</row>
    <row r="386" spans="1:33" s="32" customFormat="1" ht="15" customHeight="1">
      <c r="A386" s="37">
        <v>44193</v>
      </c>
      <c r="B386" s="57" t="s">
        <v>404</v>
      </c>
      <c r="C386" s="20" t="s">
        <v>47</v>
      </c>
      <c r="D386" s="20">
        <v>137.5</v>
      </c>
      <c r="E386" s="38">
        <v>6000</v>
      </c>
      <c r="F386" s="20" t="s">
        <v>8</v>
      </c>
      <c r="G386" s="43">
        <v>1.6</v>
      </c>
      <c r="H386" s="43">
        <v>1.45</v>
      </c>
      <c r="I386" s="43">
        <v>0</v>
      </c>
      <c r="J386" s="43">
        <v>0</v>
      </c>
      <c r="K386" s="1">
        <f t="shared" ref="K386" si="1122">(IF(F386="SELL",G386-H386,IF(F386="BUY",H386-G386)))*E386</f>
        <v>-900.0000000000008</v>
      </c>
      <c r="L386" s="43">
        <v>0</v>
      </c>
      <c r="M386" s="43">
        <v>0</v>
      </c>
      <c r="N386" s="1">
        <f t="shared" ref="N386" si="1123">(L386+K386+M386)/E386</f>
        <v>-0.15000000000000013</v>
      </c>
      <c r="O386" s="1">
        <f t="shared" ref="O386" si="1124">N386*E386</f>
        <v>-900.0000000000008</v>
      </c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</row>
    <row r="387" spans="1:33" s="32" customFormat="1" ht="15" customHeight="1">
      <c r="A387" s="37">
        <v>44189</v>
      </c>
      <c r="B387" s="57" t="s">
        <v>22</v>
      </c>
      <c r="C387" s="20" t="s">
        <v>46</v>
      </c>
      <c r="D387" s="20">
        <v>230</v>
      </c>
      <c r="E387" s="38">
        <v>3300</v>
      </c>
      <c r="F387" s="20" t="s">
        <v>8</v>
      </c>
      <c r="G387" s="43">
        <v>5.75</v>
      </c>
      <c r="H387" s="43">
        <v>6.8</v>
      </c>
      <c r="I387" s="43">
        <v>8</v>
      </c>
      <c r="J387" s="43">
        <v>0</v>
      </c>
      <c r="K387" s="1">
        <f t="shared" ref="K387" si="1125">(IF(F387="SELL",G387-H387,IF(F387="BUY",H387-G387)))*E387</f>
        <v>3464.9999999999995</v>
      </c>
      <c r="L387" s="43">
        <f>E387*1.2</f>
        <v>3960</v>
      </c>
      <c r="M387" s="43">
        <v>0</v>
      </c>
      <c r="N387" s="1">
        <f t="shared" ref="N387" si="1126">(L387+K387+M387)/E387</f>
        <v>2.25</v>
      </c>
      <c r="O387" s="1">
        <f t="shared" ref="O387" si="1127">N387*E387</f>
        <v>7425</v>
      </c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</row>
    <row r="388" spans="1:33" s="32" customFormat="1" ht="15" customHeight="1">
      <c r="A388" s="37">
        <v>44189</v>
      </c>
      <c r="B388" s="57" t="s">
        <v>413</v>
      </c>
      <c r="C388" s="20" t="s">
        <v>46</v>
      </c>
      <c r="D388" s="20">
        <v>205</v>
      </c>
      <c r="E388" s="38">
        <v>3100</v>
      </c>
      <c r="F388" s="20" t="s">
        <v>8</v>
      </c>
      <c r="G388" s="43">
        <v>9</v>
      </c>
      <c r="H388" s="43">
        <v>8</v>
      </c>
      <c r="I388" s="43">
        <v>0</v>
      </c>
      <c r="J388" s="43">
        <v>0</v>
      </c>
      <c r="K388" s="1">
        <f t="shared" ref="K388" si="1128">(IF(F388="SELL",G388-H388,IF(F388="BUY",H388-G388)))*E388</f>
        <v>-3100</v>
      </c>
      <c r="L388" s="43">
        <v>0</v>
      </c>
      <c r="M388" s="43">
        <v>0</v>
      </c>
      <c r="N388" s="1">
        <f t="shared" ref="N388" si="1129">(L388+K388+M388)/E388</f>
        <v>-1</v>
      </c>
      <c r="O388" s="1">
        <f t="shared" ref="O388" si="1130">N388*E388</f>
        <v>-3100</v>
      </c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</row>
    <row r="389" spans="1:33" s="32" customFormat="1" ht="15" customHeight="1">
      <c r="A389" s="37">
        <v>44188</v>
      </c>
      <c r="B389" s="57" t="s">
        <v>34</v>
      </c>
      <c r="C389" s="20" t="s">
        <v>47</v>
      </c>
      <c r="D389" s="20">
        <v>240</v>
      </c>
      <c r="E389" s="38">
        <v>4300</v>
      </c>
      <c r="F389" s="20" t="s">
        <v>8</v>
      </c>
      <c r="G389" s="43">
        <v>3.5</v>
      </c>
      <c r="H389" s="43">
        <v>3.95</v>
      </c>
      <c r="I389" s="43">
        <v>5.15</v>
      </c>
      <c r="J389" s="43">
        <v>0</v>
      </c>
      <c r="K389" s="1">
        <f t="shared" ref="K389" si="1131">(IF(F389="SELL",G389-H389,IF(F389="BUY",H389-G389)))*E389</f>
        <v>1935.0000000000007</v>
      </c>
      <c r="L389" s="43">
        <f>E389*1.2</f>
        <v>5160</v>
      </c>
      <c r="M389" s="43">
        <v>0</v>
      </c>
      <c r="N389" s="1">
        <f t="shared" ref="N389" si="1132">(L389+K389+M389)/E389</f>
        <v>1.6500000000000001</v>
      </c>
      <c r="O389" s="1">
        <f t="shared" ref="O389" si="1133">N389*E389</f>
        <v>7095.0000000000009</v>
      </c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</row>
    <row r="390" spans="1:33" s="32" customFormat="1" ht="15" customHeight="1">
      <c r="A390" s="37">
        <v>44187</v>
      </c>
      <c r="B390" s="57" t="s">
        <v>368</v>
      </c>
      <c r="C390" s="20" t="s">
        <v>47</v>
      </c>
      <c r="D390" s="20">
        <v>210</v>
      </c>
      <c r="E390" s="38">
        <v>3000</v>
      </c>
      <c r="F390" s="20" t="s">
        <v>8</v>
      </c>
      <c r="G390" s="43">
        <v>7</v>
      </c>
      <c r="H390" s="43">
        <v>8</v>
      </c>
      <c r="I390" s="43">
        <v>0</v>
      </c>
      <c r="J390" s="43">
        <v>0</v>
      </c>
      <c r="K390" s="1">
        <f t="shared" ref="K390" si="1134">(IF(F390="SELL",G390-H390,IF(F390="BUY",H390-G390)))*E390</f>
        <v>3000</v>
      </c>
      <c r="L390" s="43">
        <v>0</v>
      </c>
      <c r="M390" s="43">
        <v>0</v>
      </c>
      <c r="N390" s="1">
        <f t="shared" ref="N390" si="1135">(L390+K390+M390)/E390</f>
        <v>1</v>
      </c>
      <c r="O390" s="1">
        <f t="shared" ref="O390" si="1136">N390*E390</f>
        <v>3000</v>
      </c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</row>
    <row r="391" spans="1:33" s="32" customFormat="1" ht="15" customHeight="1">
      <c r="A391" s="37">
        <v>44187</v>
      </c>
      <c r="B391" s="57" t="s">
        <v>404</v>
      </c>
      <c r="C391" s="20" t="s">
        <v>47</v>
      </c>
      <c r="D391" s="20">
        <v>130</v>
      </c>
      <c r="E391" s="38">
        <v>6000</v>
      </c>
      <c r="F391" s="20" t="s">
        <v>8</v>
      </c>
      <c r="G391" s="43">
        <v>3</v>
      </c>
      <c r="H391" s="43">
        <v>3.5</v>
      </c>
      <c r="I391" s="43">
        <v>4</v>
      </c>
      <c r="J391" s="43">
        <v>0</v>
      </c>
      <c r="K391" s="1">
        <f t="shared" ref="K391" si="1137">(IF(F391="SELL",G391-H391,IF(F391="BUY",H391-G391)))*E391</f>
        <v>3000</v>
      </c>
      <c r="L391" s="43">
        <f>E391*0.5</f>
        <v>3000</v>
      </c>
      <c r="M391" s="43">
        <v>0</v>
      </c>
      <c r="N391" s="1">
        <f t="shared" ref="N391" si="1138">(L391+K391+M391)/E391</f>
        <v>1</v>
      </c>
      <c r="O391" s="1">
        <f t="shared" ref="O391" si="1139">N391*E391</f>
        <v>6000</v>
      </c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</row>
    <row r="392" spans="1:33" s="32" customFormat="1" ht="15" customHeight="1">
      <c r="A392" s="37">
        <v>44187</v>
      </c>
      <c r="B392" s="57" t="s">
        <v>128</v>
      </c>
      <c r="C392" s="20" t="s">
        <v>47</v>
      </c>
      <c r="D392" s="20">
        <v>1900</v>
      </c>
      <c r="E392" s="38">
        <v>400</v>
      </c>
      <c r="F392" s="20" t="s">
        <v>8</v>
      </c>
      <c r="G392" s="43">
        <v>41</v>
      </c>
      <c r="H392" s="43">
        <v>50</v>
      </c>
      <c r="I392" s="43">
        <v>0</v>
      </c>
      <c r="J392" s="43">
        <v>0</v>
      </c>
      <c r="K392" s="1">
        <f t="shared" ref="K392" si="1140">(IF(F392="SELL",G392-H392,IF(F392="BUY",H392-G392)))*E392</f>
        <v>3600</v>
      </c>
      <c r="L392" s="43">
        <v>0</v>
      </c>
      <c r="M392" s="43">
        <v>0</v>
      </c>
      <c r="N392" s="1">
        <f t="shared" ref="N392" si="1141">(L392+K392+M392)/E392</f>
        <v>9</v>
      </c>
      <c r="O392" s="1">
        <f t="shared" ref="O392" si="1142">N392*E392</f>
        <v>3600</v>
      </c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</row>
    <row r="393" spans="1:33" s="32" customFormat="1" ht="15" customHeight="1">
      <c r="A393" s="37">
        <v>44186</v>
      </c>
      <c r="B393" s="57" t="s">
        <v>13</v>
      </c>
      <c r="C393" s="20" t="s">
        <v>47</v>
      </c>
      <c r="D393" s="20">
        <v>890</v>
      </c>
      <c r="E393" s="38">
        <v>700</v>
      </c>
      <c r="F393" s="20" t="s">
        <v>8</v>
      </c>
      <c r="G393" s="43">
        <v>22.5</v>
      </c>
      <c r="H393" s="43">
        <v>26</v>
      </c>
      <c r="I393" s="43">
        <v>33</v>
      </c>
      <c r="J393" s="43">
        <v>0</v>
      </c>
      <c r="K393" s="1">
        <f t="shared" ref="K393" si="1143">(IF(F393="SELL",G393-H393,IF(F393="BUY",H393-G393)))*E393</f>
        <v>2450</v>
      </c>
      <c r="L393" s="43">
        <f>E393*7</f>
        <v>4900</v>
      </c>
      <c r="M393" s="43">
        <v>0</v>
      </c>
      <c r="N393" s="1">
        <f t="shared" ref="N393" si="1144">(L393+K393+M393)/E393</f>
        <v>10.5</v>
      </c>
      <c r="O393" s="1">
        <f t="shared" ref="O393" si="1145">N393*E393</f>
        <v>7350</v>
      </c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</row>
    <row r="394" spans="1:33" s="32" customFormat="1" ht="15" customHeight="1">
      <c r="A394" s="37">
        <v>44186</v>
      </c>
      <c r="B394" s="57" t="s">
        <v>332</v>
      </c>
      <c r="C394" s="20" t="s">
        <v>47</v>
      </c>
      <c r="D394" s="20">
        <v>940</v>
      </c>
      <c r="E394" s="38">
        <v>1200</v>
      </c>
      <c r="F394" s="20" t="s">
        <v>8</v>
      </c>
      <c r="G394" s="43">
        <v>22</v>
      </c>
      <c r="H394" s="43">
        <v>25</v>
      </c>
      <c r="I394" s="43">
        <v>0</v>
      </c>
      <c r="J394" s="43">
        <v>0</v>
      </c>
      <c r="K394" s="1">
        <f t="shared" ref="K394" si="1146">(IF(F394="SELL",G394-H394,IF(F394="BUY",H394-G394)))*E394</f>
        <v>3600</v>
      </c>
      <c r="L394" s="43">
        <v>0</v>
      </c>
      <c r="M394" s="43">
        <v>0</v>
      </c>
      <c r="N394" s="1">
        <f t="shared" ref="N394" si="1147">(L394+K394+M394)/E394</f>
        <v>3</v>
      </c>
      <c r="O394" s="1">
        <f t="shared" ref="O394" si="1148">N394*E394</f>
        <v>3600</v>
      </c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</row>
    <row r="395" spans="1:33" s="32" customFormat="1" ht="15" customHeight="1">
      <c r="A395" s="37">
        <v>44186</v>
      </c>
      <c r="B395" s="57" t="s">
        <v>499</v>
      </c>
      <c r="C395" s="20" t="s">
        <v>46</v>
      </c>
      <c r="D395" s="20">
        <v>400</v>
      </c>
      <c r="E395" s="38">
        <v>1800</v>
      </c>
      <c r="F395" s="20" t="s">
        <v>8</v>
      </c>
      <c r="G395" s="43">
        <v>14.3</v>
      </c>
      <c r="H395" s="43">
        <v>16</v>
      </c>
      <c r="I395" s="43">
        <v>20</v>
      </c>
      <c r="J395" s="43">
        <v>0</v>
      </c>
      <c r="K395" s="1">
        <f t="shared" ref="K395" si="1149">(IF(F395="SELL",G395-H395,IF(F395="BUY",H395-G395)))*E395</f>
        <v>3059.9999999999986</v>
      </c>
      <c r="L395" s="43">
        <f>E395*4</f>
        <v>7200</v>
      </c>
      <c r="M395" s="43">
        <v>0</v>
      </c>
      <c r="N395" s="1">
        <f t="shared" ref="N395" si="1150">(L395+K395+M395)/E395</f>
        <v>5.6999999999999993</v>
      </c>
      <c r="O395" s="1">
        <f t="shared" ref="O395" si="1151">N395*E395</f>
        <v>10259.999999999998</v>
      </c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</row>
    <row r="396" spans="1:33" s="32" customFormat="1" ht="15" customHeight="1">
      <c r="A396" s="37">
        <v>44183</v>
      </c>
      <c r="B396" s="57" t="s">
        <v>499</v>
      </c>
      <c r="C396" s="20" t="s">
        <v>47</v>
      </c>
      <c r="D396" s="20">
        <v>420</v>
      </c>
      <c r="E396" s="38">
        <v>1800</v>
      </c>
      <c r="F396" s="20" t="s">
        <v>8</v>
      </c>
      <c r="G396" s="43">
        <v>10.5</v>
      </c>
      <c r="H396" s="43">
        <v>12</v>
      </c>
      <c r="I396" s="43">
        <v>13.7</v>
      </c>
      <c r="J396" s="43">
        <v>0</v>
      </c>
      <c r="K396" s="1">
        <f t="shared" ref="K396" si="1152">(IF(F396="SELL",G396-H396,IF(F396="BUY",H396-G396)))*E396</f>
        <v>2700</v>
      </c>
      <c r="L396" s="43">
        <f>E396*1.7</f>
        <v>3060</v>
      </c>
      <c r="M396" s="43">
        <v>0</v>
      </c>
      <c r="N396" s="1">
        <f t="shared" ref="N396" si="1153">(L396+K396+M396)/E396</f>
        <v>3.2</v>
      </c>
      <c r="O396" s="1">
        <f t="shared" ref="O396" si="1154">N396*E396</f>
        <v>5760</v>
      </c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</row>
    <row r="397" spans="1:33" s="32" customFormat="1" ht="15" customHeight="1">
      <c r="A397" s="37">
        <v>44183</v>
      </c>
      <c r="B397" s="57" t="s">
        <v>404</v>
      </c>
      <c r="C397" s="20" t="s">
        <v>47</v>
      </c>
      <c r="D397" s="20">
        <v>135</v>
      </c>
      <c r="E397" s="38">
        <v>6000</v>
      </c>
      <c r="F397" s="20" t="s">
        <v>8</v>
      </c>
      <c r="G397" s="43">
        <v>5</v>
      </c>
      <c r="H397" s="43">
        <v>5.7</v>
      </c>
      <c r="I397" s="43">
        <v>6.1</v>
      </c>
      <c r="J397" s="43">
        <v>0</v>
      </c>
      <c r="K397" s="1">
        <f t="shared" ref="K397" si="1155">(IF(F397="SELL",G397-H397,IF(F397="BUY",H397-G397)))*E397</f>
        <v>4200.0000000000009</v>
      </c>
      <c r="L397" s="43">
        <f>E397*0.4</f>
        <v>2400</v>
      </c>
      <c r="M397" s="43">
        <v>0</v>
      </c>
      <c r="N397" s="1">
        <f t="shared" ref="N397" si="1156">(L397+K397+M397)/E397</f>
        <v>1.1000000000000001</v>
      </c>
      <c r="O397" s="1">
        <f t="shared" ref="O397" si="1157">N397*E397</f>
        <v>6600.0000000000009</v>
      </c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</row>
    <row r="398" spans="1:33" s="32" customFormat="1" ht="15" customHeight="1">
      <c r="A398" s="37">
        <v>44183</v>
      </c>
      <c r="B398" s="57" t="s">
        <v>506</v>
      </c>
      <c r="C398" s="20" t="s">
        <v>47</v>
      </c>
      <c r="D398" s="20">
        <v>190</v>
      </c>
      <c r="E398" s="38">
        <v>3000</v>
      </c>
      <c r="F398" s="20" t="s">
        <v>8</v>
      </c>
      <c r="G398" s="43">
        <v>6</v>
      </c>
      <c r="H398" s="43">
        <v>6</v>
      </c>
      <c r="I398" s="43">
        <v>0</v>
      </c>
      <c r="J398" s="43">
        <v>0</v>
      </c>
      <c r="K398" s="1">
        <f t="shared" ref="K398" si="1158">(IF(F398="SELL",G398-H398,IF(F398="BUY",H398-G398)))*E398</f>
        <v>0</v>
      </c>
      <c r="L398" s="43">
        <v>0</v>
      </c>
      <c r="M398" s="43">
        <v>0</v>
      </c>
      <c r="N398" s="1">
        <f t="shared" ref="N398" si="1159">(L398+K398+M398)/E398</f>
        <v>0</v>
      </c>
      <c r="O398" s="1">
        <f t="shared" ref="O398" si="1160">N398*E398</f>
        <v>0</v>
      </c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</row>
    <row r="399" spans="1:33" s="32" customFormat="1" ht="15" customHeight="1">
      <c r="A399" s="37">
        <v>44182</v>
      </c>
      <c r="B399" s="57" t="s">
        <v>504</v>
      </c>
      <c r="C399" s="20" t="s">
        <v>47</v>
      </c>
      <c r="D399" s="20">
        <v>115</v>
      </c>
      <c r="E399" s="38">
        <v>6700</v>
      </c>
      <c r="F399" s="20" t="s">
        <v>8</v>
      </c>
      <c r="G399" s="43">
        <v>5.5</v>
      </c>
      <c r="H399" s="43">
        <v>6.2</v>
      </c>
      <c r="I399" s="43">
        <v>0</v>
      </c>
      <c r="J399" s="43">
        <v>0</v>
      </c>
      <c r="K399" s="1">
        <f t="shared" ref="K399" si="1161">(IF(F399="SELL",G399-H399,IF(F399="BUY",H399-G399)))*E399</f>
        <v>4690.0000000000009</v>
      </c>
      <c r="L399" s="43">
        <v>0</v>
      </c>
      <c r="M399" s="43">
        <v>0</v>
      </c>
      <c r="N399" s="1">
        <f t="shared" ref="N399" si="1162">(L399+K399+M399)/E399</f>
        <v>0.70000000000000018</v>
      </c>
      <c r="O399" s="1">
        <f t="shared" ref="O399" si="1163">N399*E399</f>
        <v>4690.0000000000009</v>
      </c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</row>
    <row r="400" spans="1:33" s="32" customFormat="1" ht="15" customHeight="1">
      <c r="A400" s="37">
        <v>44182</v>
      </c>
      <c r="B400" s="57" t="s">
        <v>499</v>
      </c>
      <c r="C400" s="20" t="s">
        <v>47</v>
      </c>
      <c r="D400" s="20">
        <v>420</v>
      </c>
      <c r="E400" s="38">
        <v>1800</v>
      </c>
      <c r="F400" s="20" t="s">
        <v>8</v>
      </c>
      <c r="G400" s="43">
        <v>14.2</v>
      </c>
      <c r="H400" s="43">
        <v>15.45</v>
      </c>
      <c r="I400" s="43">
        <v>0</v>
      </c>
      <c r="J400" s="43">
        <v>0</v>
      </c>
      <c r="K400" s="1">
        <f t="shared" ref="K400" si="1164">(IF(F400="SELL",G400-H400,IF(F400="BUY",H400-G400)))*E400</f>
        <v>2250</v>
      </c>
      <c r="L400" s="43">
        <v>0</v>
      </c>
      <c r="M400" s="43">
        <v>0</v>
      </c>
      <c r="N400" s="1">
        <f t="shared" ref="N400" si="1165">(L400+K400+M400)/E400</f>
        <v>1.25</v>
      </c>
      <c r="O400" s="1">
        <f t="shared" ref="O400" si="1166">N400*E400</f>
        <v>2250</v>
      </c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</row>
    <row r="401" spans="1:33" s="32" customFormat="1" ht="15" customHeight="1">
      <c r="A401" s="37">
        <v>44181</v>
      </c>
      <c r="B401" s="57" t="s">
        <v>326</v>
      </c>
      <c r="C401" s="20" t="s">
        <v>46</v>
      </c>
      <c r="D401" s="20">
        <v>190</v>
      </c>
      <c r="E401" s="38">
        <v>4000</v>
      </c>
      <c r="F401" s="20" t="s">
        <v>8</v>
      </c>
      <c r="G401" s="43">
        <v>5</v>
      </c>
      <c r="H401" s="43">
        <v>5.7</v>
      </c>
      <c r="I401" s="43">
        <v>0</v>
      </c>
      <c r="J401" s="43">
        <v>0</v>
      </c>
      <c r="K401" s="1">
        <f t="shared" ref="K401" si="1167">(IF(F401="SELL",G401-H401,IF(F401="BUY",H401-G401)))*E401</f>
        <v>2800.0000000000009</v>
      </c>
      <c r="L401" s="43">
        <v>0</v>
      </c>
      <c r="M401" s="43">
        <v>0</v>
      </c>
      <c r="N401" s="1">
        <f t="shared" ref="N401" si="1168">(L401+K401+M401)/E401</f>
        <v>0.70000000000000018</v>
      </c>
      <c r="O401" s="1">
        <f t="shared" ref="O401" si="1169">N401*E401</f>
        <v>2800.0000000000009</v>
      </c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</row>
    <row r="402" spans="1:33" s="32" customFormat="1" ht="15" customHeight="1">
      <c r="A402" s="37">
        <v>44181</v>
      </c>
      <c r="B402" s="57" t="s">
        <v>409</v>
      </c>
      <c r="C402" s="20" t="s">
        <v>46</v>
      </c>
      <c r="D402" s="20">
        <v>93</v>
      </c>
      <c r="E402" s="38">
        <v>6800</v>
      </c>
      <c r="F402" s="20" t="s">
        <v>8</v>
      </c>
      <c r="G402" s="43">
        <v>3.8</v>
      </c>
      <c r="H402" s="43">
        <v>4.3</v>
      </c>
      <c r="I402" s="43">
        <v>4.8</v>
      </c>
      <c r="J402" s="43">
        <v>0</v>
      </c>
      <c r="K402" s="1">
        <f t="shared" ref="K402" si="1170">(IF(F402="SELL",G402-H402,IF(F402="BUY",H402-G402)))*E402</f>
        <v>3400</v>
      </c>
      <c r="L402" s="43">
        <f>E402*0.5</f>
        <v>3400</v>
      </c>
      <c r="M402" s="43">
        <v>0</v>
      </c>
      <c r="N402" s="1">
        <f t="shared" ref="N402" si="1171">(L402+K402+M402)/E402</f>
        <v>1</v>
      </c>
      <c r="O402" s="1">
        <f t="shared" ref="O402" si="1172">N402*E402</f>
        <v>6800</v>
      </c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</row>
    <row r="403" spans="1:33" s="32" customFormat="1" ht="15" customHeight="1">
      <c r="A403" s="37">
        <v>44180</v>
      </c>
      <c r="B403" s="57" t="s">
        <v>109</v>
      </c>
      <c r="C403" s="20" t="s">
        <v>47</v>
      </c>
      <c r="D403" s="20">
        <v>350</v>
      </c>
      <c r="E403" s="38">
        <v>3200</v>
      </c>
      <c r="F403" s="20" t="s">
        <v>8</v>
      </c>
      <c r="G403" s="43">
        <v>10.15</v>
      </c>
      <c r="H403" s="43">
        <v>11.2</v>
      </c>
      <c r="I403" s="43">
        <v>0</v>
      </c>
      <c r="J403" s="43">
        <v>0</v>
      </c>
      <c r="K403" s="1">
        <f t="shared" ref="K403" si="1173">(IF(F403="SELL",G403-H403,IF(F403="BUY",H403-G403)))*E403</f>
        <v>3359.9999999999964</v>
      </c>
      <c r="L403" s="43">
        <v>0</v>
      </c>
      <c r="M403" s="43">
        <v>0</v>
      </c>
      <c r="N403" s="1">
        <f t="shared" ref="N403" si="1174">(L403+K403+M403)/E403</f>
        <v>1.0499999999999989</v>
      </c>
      <c r="O403" s="1">
        <f t="shared" ref="O403" si="1175">N403*E403</f>
        <v>3359.9999999999964</v>
      </c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</row>
    <row r="404" spans="1:33" s="32" customFormat="1" ht="15" customHeight="1">
      <c r="A404" s="37">
        <v>44180</v>
      </c>
      <c r="B404" s="57" t="s">
        <v>13</v>
      </c>
      <c r="C404" s="20" t="s">
        <v>47</v>
      </c>
      <c r="D404" s="20">
        <v>870</v>
      </c>
      <c r="E404" s="38">
        <v>700</v>
      </c>
      <c r="F404" s="20" t="s">
        <v>8</v>
      </c>
      <c r="G404" s="43">
        <v>33</v>
      </c>
      <c r="H404" s="43">
        <v>37.5</v>
      </c>
      <c r="I404" s="43">
        <v>0</v>
      </c>
      <c r="J404" s="43">
        <v>0</v>
      </c>
      <c r="K404" s="1">
        <f t="shared" ref="K404" si="1176">(IF(F404="SELL",G404-H404,IF(F404="BUY",H404-G404)))*E404</f>
        <v>3150</v>
      </c>
      <c r="L404" s="43">
        <v>0</v>
      </c>
      <c r="M404" s="43">
        <v>0</v>
      </c>
      <c r="N404" s="1">
        <f t="shared" ref="N404" si="1177">(L404+K404+M404)/E404</f>
        <v>4.5</v>
      </c>
      <c r="O404" s="1">
        <f t="shared" ref="O404" si="1178">N404*E404</f>
        <v>3150</v>
      </c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</row>
    <row r="405" spans="1:33" s="32" customFormat="1" ht="15" customHeight="1">
      <c r="A405" s="37">
        <v>44179</v>
      </c>
      <c r="B405" s="57" t="s">
        <v>391</v>
      </c>
      <c r="C405" s="20" t="s">
        <v>47</v>
      </c>
      <c r="D405" s="20">
        <v>570</v>
      </c>
      <c r="E405" s="38">
        <v>1400</v>
      </c>
      <c r="F405" s="20" t="s">
        <v>8</v>
      </c>
      <c r="G405" s="43">
        <v>23</v>
      </c>
      <c r="H405" s="43">
        <v>22</v>
      </c>
      <c r="I405" s="43">
        <v>0</v>
      </c>
      <c r="J405" s="43">
        <v>0</v>
      </c>
      <c r="K405" s="1">
        <f t="shared" ref="K405" si="1179">(IF(F405="SELL",G405-H405,IF(F405="BUY",H405-G405)))*E405</f>
        <v>-1400</v>
      </c>
      <c r="L405" s="43">
        <v>0</v>
      </c>
      <c r="M405" s="43">
        <v>0</v>
      </c>
      <c r="N405" s="1">
        <f t="shared" ref="N405" si="1180">(L405+K405+M405)/E405</f>
        <v>-1</v>
      </c>
      <c r="O405" s="1">
        <f t="shared" ref="O405" si="1181">N405*E405</f>
        <v>-1400</v>
      </c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</row>
    <row r="406" spans="1:33" s="32" customFormat="1" ht="15" customHeight="1">
      <c r="A406" s="37">
        <v>44179</v>
      </c>
      <c r="B406" s="57" t="s">
        <v>103</v>
      </c>
      <c r="C406" s="20" t="s">
        <v>46</v>
      </c>
      <c r="D406" s="20">
        <v>92.5</v>
      </c>
      <c r="E406" s="38">
        <v>9000</v>
      </c>
      <c r="F406" s="20" t="s">
        <v>8</v>
      </c>
      <c r="G406" s="43">
        <v>3.35</v>
      </c>
      <c r="H406" s="43">
        <v>3</v>
      </c>
      <c r="I406" s="43">
        <v>0</v>
      </c>
      <c r="J406" s="43">
        <v>0</v>
      </c>
      <c r="K406" s="1">
        <f t="shared" ref="K406" si="1182">(IF(F406="SELL",G406-H406,IF(F406="BUY",H406-G406)))*E406</f>
        <v>-3150.0000000000009</v>
      </c>
      <c r="L406" s="43">
        <v>0</v>
      </c>
      <c r="M406" s="43">
        <v>0</v>
      </c>
      <c r="N406" s="1">
        <f t="shared" ref="N406" si="1183">(L406+K406+M406)/E406</f>
        <v>-0.35000000000000009</v>
      </c>
      <c r="O406" s="1">
        <f t="shared" ref="O406" si="1184">N406*E406</f>
        <v>-3150.0000000000009</v>
      </c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</row>
    <row r="407" spans="1:33" s="32" customFormat="1" ht="15" customHeight="1">
      <c r="A407" s="37">
        <v>44176</v>
      </c>
      <c r="B407" s="57" t="s">
        <v>479</v>
      </c>
      <c r="C407" s="20" t="s">
        <v>47</v>
      </c>
      <c r="D407" s="20">
        <v>410</v>
      </c>
      <c r="E407" s="38">
        <v>2000</v>
      </c>
      <c r="F407" s="20" t="s">
        <v>8</v>
      </c>
      <c r="G407" s="43">
        <v>15</v>
      </c>
      <c r="H407" s="43">
        <v>16.5</v>
      </c>
      <c r="I407" s="43">
        <v>17.399999999999999</v>
      </c>
      <c r="J407" s="43">
        <v>0</v>
      </c>
      <c r="K407" s="1">
        <f t="shared" ref="K407" si="1185">(IF(F407="SELL",G407-H407,IF(F407="BUY",H407-G407)))*E407</f>
        <v>3000</v>
      </c>
      <c r="L407" s="43">
        <f>E407*0.9</f>
        <v>1800</v>
      </c>
      <c r="M407" s="43">
        <v>0</v>
      </c>
      <c r="N407" s="1">
        <f t="shared" ref="N407" si="1186">(L407+K407+M407)/E407</f>
        <v>2.4</v>
      </c>
      <c r="O407" s="1">
        <f t="shared" ref="O407" si="1187">N407*E407</f>
        <v>4800</v>
      </c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</row>
    <row r="408" spans="1:33" s="32" customFormat="1" ht="15" customHeight="1">
      <c r="A408" s="37">
        <v>44176</v>
      </c>
      <c r="B408" s="57" t="s">
        <v>20</v>
      </c>
      <c r="C408" s="20" t="s">
        <v>47</v>
      </c>
      <c r="D408" s="20">
        <v>1180</v>
      </c>
      <c r="E408" s="38">
        <v>600</v>
      </c>
      <c r="F408" s="20" t="s">
        <v>8</v>
      </c>
      <c r="G408" s="43">
        <v>27.5</v>
      </c>
      <c r="H408" s="43">
        <v>26.2</v>
      </c>
      <c r="I408" s="43">
        <v>0</v>
      </c>
      <c r="J408" s="43">
        <v>0</v>
      </c>
      <c r="K408" s="1">
        <f t="shared" ref="K408" si="1188">(IF(F408="SELL",G408-H408,IF(F408="BUY",H408-G408)))*E408</f>
        <v>-780.00000000000045</v>
      </c>
      <c r="L408" s="43">
        <v>0</v>
      </c>
      <c r="M408" s="43">
        <v>0</v>
      </c>
      <c r="N408" s="1">
        <f t="shared" ref="N408" si="1189">(L408+K408+M408)/E408</f>
        <v>-1.3000000000000007</v>
      </c>
      <c r="O408" s="1">
        <f t="shared" ref="O408" si="1190">N408*E408</f>
        <v>-780.00000000000045</v>
      </c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</row>
    <row r="409" spans="1:33" s="32" customFormat="1" ht="15" customHeight="1">
      <c r="A409" s="37">
        <v>44175</v>
      </c>
      <c r="B409" s="57" t="s">
        <v>332</v>
      </c>
      <c r="C409" s="20" t="s">
        <v>47</v>
      </c>
      <c r="D409" s="20">
        <v>940</v>
      </c>
      <c r="E409" s="38">
        <v>1200</v>
      </c>
      <c r="F409" s="20" t="s">
        <v>8</v>
      </c>
      <c r="G409" s="43">
        <v>28.2</v>
      </c>
      <c r="H409" s="43">
        <v>30.7</v>
      </c>
      <c r="I409" s="43">
        <v>53</v>
      </c>
      <c r="J409" s="43">
        <v>0</v>
      </c>
      <c r="K409" s="1">
        <f t="shared" ref="K409" si="1191">(IF(F409="SELL",G409-H409,IF(F409="BUY",H409-G409)))*E409</f>
        <v>3000</v>
      </c>
      <c r="L409" s="43">
        <f>E409*3</f>
        <v>3600</v>
      </c>
      <c r="M409" s="43">
        <v>0</v>
      </c>
      <c r="N409" s="1">
        <f t="shared" ref="N409" si="1192">(L409+K409+M409)/E409</f>
        <v>5.5</v>
      </c>
      <c r="O409" s="1">
        <f t="shared" ref="O409" si="1193">N409*E409</f>
        <v>6600</v>
      </c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</row>
    <row r="410" spans="1:33" s="32" customFormat="1" ht="15" customHeight="1">
      <c r="A410" s="37">
        <v>44175</v>
      </c>
      <c r="B410" s="57" t="s">
        <v>391</v>
      </c>
      <c r="C410" s="20" t="s">
        <v>47</v>
      </c>
      <c r="D410" s="20">
        <v>560</v>
      </c>
      <c r="E410" s="38">
        <v>1400</v>
      </c>
      <c r="F410" s="20" t="s">
        <v>8</v>
      </c>
      <c r="G410" s="43">
        <v>24.4</v>
      </c>
      <c r="H410" s="43">
        <v>24.4</v>
      </c>
      <c r="I410" s="43">
        <v>0</v>
      </c>
      <c r="J410" s="43">
        <v>0</v>
      </c>
      <c r="K410" s="1">
        <f t="shared" ref="K410" si="1194">(IF(F410="SELL",G410-H410,IF(F410="BUY",H410-G410)))*E410</f>
        <v>0</v>
      </c>
      <c r="L410" s="43">
        <v>0</v>
      </c>
      <c r="M410" s="43">
        <v>0</v>
      </c>
      <c r="N410" s="1">
        <f t="shared" ref="N410" si="1195">(L410+K410+M410)/E410</f>
        <v>0</v>
      </c>
      <c r="O410" s="1">
        <f t="shared" ref="O410" si="1196">N410*E410</f>
        <v>0</v>
      </c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</row>
    <row r="411" spans="1:33" s="32" customFormat="1" ht="15" customHeight="1">
      <c r="A411" s="37">
        <v>44174</v>
      </c>
      <c r="B411" s="57" t="s">
        <v>43</v>
      </c>
      <c r="C411" s="20" t="s">
        <v>47</v>
      </c>
      <c r="D411" s="20">
        <v>1380</v>
      </c>
      <c r="E411" s="38">
        <v>550</v>
      </c>
      <c r="F411" s="20" t="s">
        <v>8</v>
      </c>
      <c r="G411" s="43">
        <v>44</v>
      </c>
      <c r="H411" s="43">
        <v>50</v>
      </c>
      <c r="I411" s="43">
        <v>53</v>
      </c>
      <c r="J411" s="43">
        <v>0</v>
      </c>
      <c r="K411" s="1">
        <f t="shared" ref="K411" si="1197">(IF(F411="SELL",G411-H411,IF(F411="BUY",H411-G411)))*E411</f>
        <v>3300</v>
      </c>
      <c r="L411" s="43">
        <f>E411*3</f>
        <v>1650</v>
      </c>
      <c r="M411" s="43">
        <v>0</v>
      </c>
      <c r="N411" s="1">
        <f t="shared" ref="N411" si="1198">(L411+K411+M411)/E411</f>
        <v>9</v>
      </c>
      <c r="O411" s="1">
        <f t="shared" ref="O411" si="1199">N411*E411</f>
        <v>4950</v>
      </c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</row>
    <row r="412" spans="1:33" s="32" customFormat="1" ht="15" customHeight="1">
      <c r="A412" s="37">
        <v>44173</v>
      </c>
      <c r="B412" s="57" t="s">
        <v>328</v>
      </c>
      <c r="C412" s="20" t="s">
        <v>47</v>
      </c>
      <c r="D412" s="20">
        <v>360</v>
      </c>
      <c r="E412" s="38">
        <v>2500</v>
      </c>
      <c r="F412" s="20" t="s">
        <v>8</v>
      </c>
      <c r="G412" s="43">
        <v>24</v>
      </c>
      <c r="H412" s="43">
        <v>25</v>
      </c>
      <c r="I412" s="43">
        <v>28</v>
      </c>
      <c r="J412" s="43">
        <v>0</v>
      </c>
      <c r="K412" s="1">
        <f t="shared" ref="K412" si="1200">(IF(F412="SELL",G412-H412,IF(F412="BUY",H412-G412)))*E412</f>
        <v>2500</v>
      </c>
      <c r="L412" s="43">
        <f>E412*3</f>
        <v>7500</v>
      </c>
      <c r="M412" s="43">
        <v>0</v>
      </c>
      <c r="N412" s="1">
        <f t="shared" ref="N412" si="1201">(L412+K412+M412)/E412</f>
        <v>4</v>
      </c>
      <c r="O412" s="1">
        <f t="shared" ref="O412" si="1202">N412*E412</f>
        <v>10000</v>
      </c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</row>
    <row r="413" spans="1:33" s="32" customFormat="1" ht="15" customHeight="1">
      <c r="A413" s="37">
        <v>44173</v>
      </c>
      <c r="B413" s="57" t="s">
        <v>404</v>
      </c>
      <c r="C413" s="20" t="s">
        <v>47</v>
      </c>
      <c r="D413" s="20">
        <v>127.5</v>
      </c>
      <c r="E413" s="38">
        <v>6000</v>
      </c>
      <c r="F413" s="20" t="s">
        <v>8</v>
      </c>
      <c r="G413" s="43">
        <v>5.0999999999999996</v>
      </c>
      <c r="H413" s="43">
        <v>5.6</v>
      </c>
      <c r="I413" s="43">
        <v>5.9</v>
      </c>
      <c r="J413" s="43">
        <v>0</v>
      </c>
      <c r="K413" s="1">
        <f t="shared" ref="K413" si="1203">(IF(F413="SELL",G413-H413,IF(F413="BUY",H413-G413)))*E413</f>
        <v>3000</v>
      </c>
      <c r="L413" s="43">
        <f>E413*0.3</f>
        <v>1800</v>
      </c>
      <c r="M413" s="43">
        <v>0</v>
      </c>
      <c r="N413" s="1">
        <f t="shared" ref="N413" si="1204">(L413+K413+M413)/E413</f>
        <v>0.8</v>
      </c>
      <c r="O413" s="1">
        <f t="shared" ref="O413" si="1205">N413*E413</f>
        <v>4800</v>
      </c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</row>
    <row r="414" spans="1:33" s="32" customFormat="1" ht="15" customHeight="1">
      <c r="A414" s="37">
        <v>44173</v>
      </c>
      <c r="B414" s="57" t="s">
        <v>43</v>
      </c>
      <c r="C414" s="20" t="s">
        <v>47</v>
      </c>
      <c r="D414" s="20">
        <v>1380</v>
      </c>
      <c r="E414" s="38">
        <v>550</v>
      </c>
      <c r="F414" s="20" t="s">
        <v>8</v>
      </c>
      <c r="G414" s="43">
        <v>44</v>
      </c>
      <c r="H414" s="43">
        <v>44</v>
      </c>
      <c r="I414" s="43">
        <v>0</v>
      </c>
      <c r="J414" s="43">
        <v>0</v>
      </c>
      <c r="K414" s="1">
        <f t="shared" ref="K414" si="1206">(IF(F414="SELL",G414-H414,IF(F414="BUY",H414-G414)))*E414</f>
        <v>0</v>
      </c>
      <c r="L414" s="43">
        <v>0</v>
      </c>
      <c r="M414" s="43">
        <v>0</v>
      </c>
      <c r="N414" s="1">
        <f t="shared" ref="N414" si="1207">(L414+K414+M414)/E414</f>
        <v>0</v>
      </c>
      <c r="O414" s="1">
        <f t="shared" ref="O414" si="1208">N414*E414</f>
        <v>0</v>
      </c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</row>
    <row r="415" spans="1:33" s="32" customFormat="1" ht="15" customHeight="1">
      <c r="A415" s="37">
        <v>44173</v>
      </c>
      <c r="B415" s="57" t="s">
        <v>505</v>
      </c>
      <c r="C415" s="20" t="s">
        <v>47</v>
      </c>
      <c r="D415" s="20">
        <v>2550</v>
      </c>
      <c r="E415" s="38">
        <v>375</v>
      </c>
      <c r="F415" s="20" t="s">
        <v>8</v>
      </c>
      <c r="G415" s="43">
        <v>88</v>
      </c>
      <c r="H415" s="43">
        <v>80</v>
      </c>
      <c r="I415" s="43">
        <v>0</v>
      </c>
      <c r="J415" s="43">
        <v>0</v>
      </c>
      <c r="K415" s="1">
        <f t="shared" ref="K415" si="1209">(IF(F415="SELL",G415-H415,IF(F415="BUY",H415-G415)))*E415</f>
        <v>-3000</v>
      </c>
      <c r="L415" s="43">
        <v>0</v>
      </c>
      <c r="M415" s="43">
        <v>0</v>
      </c>
      <c r="N415" s="1">
        <f t="shared" ref="N415" si="1210">(L415+K415+M415)/E415</f>
        <v>-8</v>
      </c>
      <c r="O415" s="1">
        <f t="shared" ref="O415" si="1211">N415*E415</f>
        <v>-3000</v>
      </c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</row>
    <row r="416" spans="1:33" s="32" customFormat="1" ht="15" customHeight="1">
      <c r="A416" s="37">
        <v>44172</v>
      </c>
      <c r="B416" s="57" t="s">
        <v>37</v>
      </c>
      <c r="C416" s="20" t="s">
        <v>47</v>
      </c>
      <c r="D416" s="20">
        <v>2750</v>
      </c>
      <c r="E416" s="38">
        <v>300</v>
      </c>
      <c r="F416" s="20" t="s">
        <v>8</v>
      </c>
      <c r="G416" s="43">
        <v>70</v>
      </c>
      <c r="H416" s="43">
        <v>72.25</v>
      </c>
      <c r="I416" s="43">
        <v>76</v>
      </c>
      <c r="J416" s="43">
        <v>0</v>
      </c>
      <c r="K416" s="1">
        <f t="shared" ref="K416" si="1212">(IF(F416="SELL",G416-H416,IF(F416="BUY",H416-G416)))*E416</f>
        <v>675</v>
      </c>
      <c r="L416" s="43">
        <f>E416*4.75</f>
        <v>1425</v>
      </c>
      <c r="M416" s="43">
        <v>0</v>
      </c>
      <c r="N416" s="1">
        <f t="shared" ref="N416" si="1213">(L416+K416+M416)/E416</f>
        <v>7</v>
      </c>
      <c r="O416" s="1">
        <f t="shared" ref="O416" si="1214">N416*E416</f>
        <v>2100</v>
      </c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</row>
    <row r="417" spans="1:33" s="32" customFormat="1" ht="15" customHeight="1">
      <c r="A417" s="37">
        <v>44172</v>
      </c>
      <c r="B417" s="57" t="s">
        <v>326</v>
      </c>
      <c r="C417" s="20" t="s">
        <v>47</v>
      </c>
      <c r="D417" s="20">
        <v>190</v>
      </c>
      <c r="E417" s="38">
        <v>4000</v>
      </c>
      <c r="F417" s="20" t="s">
        <v>8</v>
      </c>
      <c r="G417" s="43">
        <v>7</v>
      </c>
      <c r="H417" s="43">
        <v>7.05</v>
      </c>
      <c r="I417" s="43">
        <v>0</v>
      </c>
      <c r="J417" s="43">
        <v>0</v>
      </c>
      <c r="K417" s="1">
        <f t="shared" ref="K417" si="1215">(IF(F417="SELL",G417-H417,IF(F417="BUY",H417-G417)))*E417</f>
        <v>199.99999999999929</v>
      </c>
      <c r="L417" s="43">
        <v>0</v>
      </c>
      <c r="M417" s="43">
        <v>0</v>
      </c>
      <c r="N417" s="1">
        <f t="shared" ref="N417" si="1216">(L417+K417+M417)/E417</f>
        <v>4.9999999999999822E-2</v>
      </c>
      <c r="O417" s="1">
        <f t="shared" ref="O417" si="1217">N417*E417</f>
        <v>199.99999999999929</v>
      </c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</row>
    <row r="418" spans="1:33" s="32" customFormat="1" ht="15" customHeight="1">
      <c r="A418" s="37">
        <v>44172</v>
      </c>
      <c r="B418" s="57" t="s">
        <v>489</v>
      </c>
      <c r="C418" s="20" t="s">
        <v>47</v>
      </c>
      <c r="D418" s="20">
        <v>480</v>
      </c>
      <c r="E418" s="38">
        <v>2200</v>
      </c>
      <c r="F418" s="20" t="s">
        <v>8</v>
      </c>
      <c r="G418" s="43">
        <v>21</v>
      </c>
      <c r="H418" s="43">
        <v>23</v>
      </c>
      <c r="I418" s="43">
        <v>0</v>
      </c>
      <c r="J418" s="43">
        <v>0</v>
      </c>
      <c r="K418" s="1">
        <f t="shared" ref="K418" si="1218">(IF(F418="SELL",G418-H418,IF(F418="BUY",H418-G418)))*E418</f>
        <v>4400</v>
      </c>
      <c r="L418" s="43">
        <v>0</v>
      </c>
      <c r="M418" s="43">
        <v>0</v>
      </c>
      <c r="N418" s="1">
        <f t="shared" ref="N418" si="1219">(L418+K418+M418)/E418</f>
        <v>2</v>
      </c>
      <c r="O418" s="1">
        <f t="shared" ref="O418" si="1220">N418*E418</f>
        <v>4400</v>
      </c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</row>
    <row r="419" spans="1:33" s="32" customFormat="1" ht="15" customHeight="1">
      <c r="A419" s="37">
        <v>44172</v>
      </c>
      <c r="B419" s="57" t="s">
        <v>476</v>
      </c>
      <c r="C419" s="20" t="s">
        <v>47</v>
      </c>
      <c r="D419" s="20">
        <v>180</v>
      </c>
      <c r="E419" s="38">
        <v>6000</v>
      </c>
      <c r="F419" s="20" t="s">
        <v>8</v>
      </c>
      <c r="G419" s="43">
        <v>7</v>
      </c>
      <c r="H419" s="43">
        <v>6.4</v>
      </c>
      <c r="I419" s="43">
        <v>0</v>
      </c>
      <c r="J419" s="43">
        <v>0</v>
      </c>
      <c r="K419" s="1">
        <f t="shared" ref="K419" si="1221">(IF(F419="SELL",G419-H419,IF(F419="BUY",H419-G419)))*E419</f>
        <v>-3599.9999999999977</v>
      </c>
      <c r="L419" s="43">
        <v>0</v>
      </c>
      <c r="M419" s="43">
        <v>0</v>
      </c>
      <c r="N419" s="1">
        <f t="shared" ref="N419" si="1222">(L419+K419+M419)/E419</f>
        <v>-0.59999999999999964</v>
      </c>
      <c r="O419" s="1">
        <f t="shared" ref="O419" si="1223">N419*E419</f>
        <v>-3599.9999999999977</v>
      </c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</row>
    <row r="420" spans="1:33" s="32" customFormat="1" ht="15" customHeight="1">
      <c r="A420" s="37">
        <v>44169</v>
      </c>
      <c r="B420" s="57" t="s">
        <v>103</v>
      </c>
      <c r="C420" s="20" t="s">
        <v>46</v>
      </c>
      <c r="D420" s="20">
        <v>92.5</v>
      </c>
      <c r="E420" s="38">
        <v>9000</v>
      </c>
      <c r="F420" s="20" t="s">
        <v>8</v>
      </c>
      <c r="G420" s="43">
        <v>2.5</v>
      </c>
      <c r="H420" s="43">
        <v>2.8</v>
      </c>
      <c r="I420" s="43">
        <v>0</v>
      </c>
      <c r="J420" s="43">
        <v>0</v>
      </c>
      <c r="K420" s="1">
        <f t="shared" ref="K420" si="1224">(IF(F420="SELL",G420-H420,IF(F420="BUY",H420-G420)))*E420</f>
        <v>2699.9999999999982</v>
      </c>
      <c r="L420" s="43">
        <v>0</v>
      </c>
      <c r="M420" s="43">
        <v>0</v>
      </c>
      <c r="N420" s="1">
        <f t="shared" ref="N420" si="1225">(L420+K420+M420)/E420</f>
        <v>0.29999999999999982</v>
      </c>
      <c r="O420" s="1">
        <f t="shared" ref="O420" si="1226">N420*E420</f>
        <v>2699.9999999999982</v>
      </c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</row>
    <row r="421" spans="1:33" s="32" customFormat="1" ht="15" customHeight="1">
      <c r="A421" s="37">
        <v>44169</v>
      </c>
      <c r="B421" s="57" t="s">
        <v>20</v>
      </c>
      <c r="C421" s="20" t="s">
        <v>47</v>
      </c>
      <c r="D421" s="20">
        <v>1140</v>
      </c>
      <c r="E421" s="38">
        <v>600</v>
      </c>
      <c r="F421" s="20" t="s">
        <v>8</v>
      </c>
      <c r="G421" s="43">
        <v>36</v>
      </c>
      <c r="H421" s="43">
        <v>37</v>
      </c>
      <c r="I421" s="43">
        <v>38</v>
      </c>
      <c r="J421" s="43">
        <v>0</v>
      </c>
      <c r="K421" s="1">
        <f t="shared" ref="K421" si="1227">(IF(F421="SELL",G421-H421,IF(F421="BUY",H421-G421)))*E421</f>
        <v>600</v>
      </c>
      <c r="L421" s="43">
        <f>E421*1</f>
        <v>600</v>
      </c>
      <c r="M421" s="43">
        <v>0</v>
      </c>
      <c r="N421" s="1">
        <f t="shared" ref="N421" si="1228">(L421+K421+M421)/E421</f>
        <v>2</v>
      </c>
      <c r="O421" s="1">
        <f t="shared" ref="O421" si="1229">N421*E421</f>
        <v>1200</v>
      </c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</row>
    <row r="422" spans="1:33" s="32" customFormat="1" ht="15" customHeight="1">
      <c r="A422" s="37">
        <v>44169</v>
      </c>
      <c r="B422" s="57" t="s">
        <v>38</v>
      </c>
      <c r="C422" s="20" t="s">
        <v>46</v>
      </c>
      <c r="D422" s="20">
        <v>7700</v>
      </c>
      <c r="E422" s="38">
        <v>100</v>
      </c>
      <c r="F422" s="20" t="s">
        <v>8</v>
      </c>
      <c r="G422" s="43">
        <v>58</v>
      </c>
      <c r="H422" s="43">
        <v>30</v>
      </c>
      <c r="I422" s="43">
        <v>0</v>
      </c>
      <c r="J422" s="43">
        <v>0</v>
      </c>
      <c r="K422" s="1">
        <f t="shared" ref="K422" si="1230">(IF(F422="SELL",G422-H422,IF(F422="BUY",H422-G422)))*E422</f>
        <v>-2800</v>
      </c>
      <c r="L422" s="43">
        <v>0</v>
      </c>
      <c r="M422" s="43">
        <v>0</v>
      </c>
      <c r="N422" s="1">
        <f t="shared" ref="N422" si="1231">(L422+K422+M422)/E422</f>
        <v>-28</v>
      </c>
      <c r="O422" s="1">
        <f t="shared" ref="O422" si="1232">N422*E422</f>
        <v>-2800</v>
      </c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</row>
    <row r="423" spans="1:33" s="32" customFormat="1" ht="15" customHeight="1">
      <c r="A423" s="37">
        <v>44168</v>
      </c>
      <c r="B423" s="57" t="s">
        <v>28</v>
      </c>
      <c r="C423" s="20" t="s">
        <v>47</v>
      </c>
      <c r="D423" s="20">
        <v>480</v>
      </c>
      <c r="E423" s="38">
        <v>1851</v>
      </c>
      <c r="F423" s="20" t="s">
        <v>8</v>
      </c>
      <c r="G423" s="43">
        <v>20</v>
      </c>
      <c r="H423" s="43">
        <v>21.8</v>
      </c>
      <c r="I423" s="43">
        <v>0</v>
      </c>
      <c r="J423" s="43">
        <v>0</v>
      </c>
      <c r="K423" s="1">
        <f t="shared" ref="K423" si="1233">(IF(F423="SELL",G423-H423,IF(F423="BUY",H423-G423)))*E423</f>
        <v>3331.8000000000011</v>
      </c>
      <c r="L423" s="43">
        <v>0</v>
      </c>
      <c r="M423" s="43">
        <v>0</v>
      </c>
      <c r="N423" s="1">
        <f t="shared" ref="N423" si="1234">(L423+K423+M423)/E423</f>
        <v>1.8000000000000005</v>
      </c>
      <c r="O423" s="1">
        <f t="shared" ref="O423" si="1235">N423*E423</f>
        <v>3331.8000000000011</v>
      </c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</row>
    <row r="424" spans="1:33" s="32" customFormat="1" ht="15" customHeight="1">
      <c r="A424" s="37">
        <v>44168</v>
      </c>
      <c r="B424" s="57" t="s">
        <v>131</v>
      </c>
      <c r="C424" s="20" t="s">
        <v>47</v>
      </c>
      <c r="D424" s="20">
        <v>265</v>
      </c>
      <c r="E424" s="38">
        <v>3000</v>
      </c>
      <c r="F424" s="20" t="s">
        <v>8</v>
      </c>
      <c r="G424" s="43">
        <v>7.6</v>
      </c>
      <c r="H424" s="43">
        <v>8.4499999999999993</v>
      </c>
      <c r="I424" s="43">
        <v>0</v>
      </c>
      <c r="J424" s="43">
        <v>0</v>
      </c>
      <c r="K424" s="1">
        <f t="shared" ref="K424" si="1236">(IF(F424="SELL",G424-H424,IF(F424="BUY",H424-G424)))*E424</f>
        <v>2549.9999999999991</v>
      </c>
      <c r="L424" s="43">
        <v>0</v>
      </c>
      <c r="M424" s="43">
        <v>0</v>
      </c>
      <c r="N424" s="1">
        <f t="shared" ref="N424" si="1237">(L424+K424+M424)/E424</f>
        <v>0.84999999999999964</v>
      </c>
      <c r="O424" s="1">
        <f t="shared" ref="O424" si="1238">N424*E424</f>
        <v>2549.9999999999991</v>
      </c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</row>
    <row r="425" spans="1:33" s="32" customFormat="1" ht="15" customHeight="1">
      <c r="A425" s="37">
        <v>44168</v>
      </c>
      <c r="B425" s="57" t="s">
        <v>32</v>
      </c>
      <c r="C425" s="20" t="s">
        <v>47</v>
      </c>
      <c r="D425" s="20">
        <v>900</v>
      </c>
      <c r="E425" s="38">
        <v>650</v>
      </c>
      <c r="F425" s="20" t="s">
        <v>8</v>
      </c>
      <c r="G425" s="43">
        <v>40</v>
      </c>
      <c r="H425" s="43">
        <v>40</v>
      </c>
      <c r="I425" s="43">
        <v>0</v>
      </c>
      <c r="J425" s="43">
        <v>0</v>
      </c>
      <c r="K425" s="1">
        <f t="shared" ref="K425" si="1239">(IF(F425="SELL",G425-H425,IF(F425="BUY",H425-G425)))*E425</f>
        <v>0</v>
      </c>
      <c r="L425" s="43">
        <v>0</v>
      </c>
      <c r="M425" s="43">
        <v>0</v>
      </c>
      <c r="N425" s="1">
        <f t="shared" ref="N425" si="1240">(L425+K425+M425)/E425</f>
        <v>0</v>
      </c>
      <c r="O425" s="1">
        <f t="shared" ref="O425" si="1241">N425*E425</f>
        <v>0</v>
      </c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</row>
    <row r="426" spans="1:33" s="32" customFormat="1" ht="15" customHeight="1">
      <c r="A426" s="37">
        <v>44167</v>
      </c>
      <c r="B426" s="57" t="s">
        <v>367</v>
      </c>
      <c r="C426" s="20" t="s">
        <v>47</v>
      </c>
      <c r="D426" s="20">
        <v>185</v>
      </c>
      <c r="E426" s="38">
        <v>5000</v>
      </c>
      <c r="F426" s="20" t="s">
        <v>8</v>
      </c>
      <c r="G426" s="43">
        <v>9.8000000000000007</v>
      </c>
      <c r="H426" s="43">
        <v>10.5</v>
      </c>
      <c r="I426" s="43">
        <v>10.8</v>
      </c>
      <c r="J426" s="43">
        <v>0</v>
      </c>
      <c r="K426" s="1">
        <f t="shared" ref="K426" si="1242">(IF(F426="SELL",G426-H426,IF(F426="BUY",H426-G426)))*E426</f>
        <v>3499.9999999999964</v>
      </c>
      <c r="L426" s="43">
        <f>E426*0.3</f>
        <v>1500</v>
      </c>
      <c r="M426" s="43">
        <v>0</v>
      </c>
      <c r="N426" s="1">
        <f t="shared" ref="N426" si="1243">(L426+K426+M426)/E426</f>
        <v>0.99999999999999922</v>
      </c>
      <c r="O426" s="1">
        <f t="shared" ref="O426" si="1244">N426*E426</f>
        <v>4999.9999999999964</v>
      </c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</row>
    <row r="427" spans="1:33" s="32" customFormat="1" ht="15" customHeight="1">
      <c r="A427" s="37">
        <v>44167</v>
      </c>
      <c r="B427" s="57" t="s">
        <v>476</v>
      </c>
      <c r="C427" s="20" t="s">
        <v>47</v>
      </c>
      <c r="D427" s="20">
        <v>170</v>
      </c>
      <c r="E427" s="38">
        <v>6000</v>
      </c>
      <c r="F427" s="20" t="s">
        <v>8</v>
      </c>
      <c r="G427" s="43">
        <v>9.9</v>
      </c>
      <c r="H427" s="43">
        <v>10.5</v>
      </c>
      <c r="I427" s="43">
        <v>11.15</v>
      </c>
      <c r="J427" s="43">
        <v>0</v>
      </c>
      <c r="K427" s="1">
        <f t="shared" ref="K427" si="1245">(IF(F427="SELL",G427-H427,IF(F427="BUY",H427-G427)))*E427</f>
        <v>3599.9999999999977</v>
      </c>
      <c r="L427" s="43">
        <f>E427*0.65</f>
        <v>3900</v>
      </c>
      <c r="M427" s="43">
        <v>0</v>
      </c>
      <c r="N427" s="1">
        <f t="shared" ref="N427" si="1246">(L427+K427+M427)/E427</f>
        <v>1.2499999999999998</v>
      </c>
      <c r="O427" s="1">
        <f t="shared" ref="O427" si="1247">N427*E427</f>
        <v>7499.9999999999991</v>
      </c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</row>
    <row r="428" spans="1:33" s="32" customFormat="1" ht="15" customHeight="1">
      <c r="A428" s="37">
        <v>44167</v>
      </c>
      <c r="B428" s="57" t="s">
        <v>69</v>
      </c>
      <c r="C428" s="20" t="s">
        <v>47</v>
      </c>
      <c r="D428" s="20">
        <v>152.5</v>
      </c>
      <c r="E428" s="38">
        <v>7000</v>
      </c>
      <c r="F428" s="20" t="s">
        <v>8</v>
      </c>
      <c r="G428" s="43">
        <v>9</v>
      </c>
      <c r="H428" s="43">
        <v>9.5</v>
      </c>
      <c r="I428" s="43">
        <v>0</v>
      </c>
      <c r="J428" s="43">
        <v>0</v>
      </c>
      <c r="K428" s="1">
        <f t="shared" ref="K428" si="1248">(IF(F428="SELL",G428-H428,IF(F428="BUY",H428-G428)))*E428</f>
        <v>3500</v>
      </c>
      <c r="L428" s="43">
        <v>0</v>
      </c>
      <c r="M428" s="43">
        <v>0</v>
      </c>
      <c r="N428" s="1">
        <f t="shared" ref="N428" si="1249">(L428+K428+M428)/E428</f>
        <v>0.5</v>
      </c>
      <c r="O428" s="1">
        <f t="shared" ref="O428" si="1250">N428*E428</f>
        <v>3500</v>
      </c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</row>
    <row r="429" spans="1:33" s="32" customFormat="1" ht="15" customHeight="1">
      <c r="A429" s="37">
        <v>44167</v>
      </c>
      <c r="B429" s="57" t="s">
        <v>410</v>
      </c>
      <c r="C429" s="20" t="s">
        <v>47</v>
      </c>
      <c r="D429" s="20">
        <v>1600</v>
      </c>
      <c r="E429" s="38">
        <v>500</v>
      </c>
      <c r="F429" s="20" t="s">
        <v>8</v>
      </c>
      <c r="G429" s="43">
        <v>78</v>
      </c>
      <c r="H429" s="43">
        <v>75</v>
      </c>
      <c r="I429" s="43">
        <v>0</v>
      </c>
      <c r="J429" s="43">
        <v>0</v>
      </c>
      <c r="K429" s="1">
        <f t="shared" ref="K429" si="1251">(IF(F429="SELL",G429-H429,IF(F429="BUY",H429-G429)))*E429</f>
        <v>-1500</v>
      </c>
      <c r="L429" s="43">
        <v>0</v>
      </c>
      <c r="M429" s="43">
        <v>0</v>
      </c>
      <c r="N429" s="1">
        <f t="shared" ref="N429" si="1252">(L429+K429+M429)/E429</f>
        <v>-3</v>
      </c>
      <c r="O429" s="1">
        <f t="shared" ref="O429" si="1253">N429*E429</f>
        <v>-1500</v>
      </c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</row>
    <row r="430" spans="1:33" s="32" customFormat="1" ht="15" customHeight="1">
      <c r="A430" s="37">
        <v>44167</v>
      </c>
      <c r="B430" s="57" t="s">
        <v>21</v>
      </c>
      <c r="C430" s="20" t="s">
        <v>46</v>
      </c>
      <c r="D430" s="20">
        <v>240</v>
      </c>
      <c r="E430" s="38">
        <v>3000</v>
      </c>
      <c r="F430" s="20" t="s">
        <v>8</v>
      </c>
      <c r="G430" s="43">
        <v>8.1</v>
      </c>
      <c r="H430" s="43">
        <v>7</v>
      </c>
      <c r="I430" s="43">
        <v>0</v>
      </c>
      <c r="J430" s="43">
        <v>0</v>
      </c>
      <c r="K430" s="1">
        <f t="shared" ref="K430" si="1254">(IF(F430="SELL",G430-H430,IF(F430="BUY",H430-G430)))*E430</f>
        <v>-3299.9999999999991</v>
      </c>
      <c r="L430" s="43">
        <v>0</v>
      </c>
      <c r="M430" s="43">
        <v>0</v>
      </c>
      <c r="N430" s="1">
        <f t="shared" ref="N430" si="1255">(L430+K430+M430)/E430</f>
        <v>-1.0999999999999996</v>
      </c>
      <c r="O430" s="1">
        <f t="shared" ref="O430" si="1256">N430*E430</f>
        <v>-3299.9999999999991</v>
      </c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</row>
    <row r="431" spans="1:33" s="32" customFormat="1" ht="15" customHeight="1">
      <c r="A431" s="37">
        <v>44166</v>
      </c>
      <c r="B431" s="57" t="s">
        <v>109</v>
      </c>
      <c r="C431" s="20" t="s">
        <v>47</v>
      </c>
      <c r="D431" s="20">
        <v>350</v>
      </c>
      <c r="E431" s="38">
        <v>3200</v>
      </c>
      <c r="F431" s="20" t="s">
        <v>8</v>
      </c>
      <c r="G431" s="43">
        <v>13.1</v>
      </c>
      <c r="H431" s="43">
        <v>13.5</v>
      </c>
      <c r="I431" s="43">
        <v>0</v>
      </c>
      <c r="J431" s="43">
        <v>0</v>
      </c>
      <c r="K431" s="1">
        <f t="shared" ref="K431" si="1257">(IF(F431="SELL",G431-H431,IF(F431="BUY",H431-G431)))*E431</f>
        <v>1280.0000000000011</v>
      </c>
      <c r="L431" s="43">
        <v>0</v>
      </c>
      <c r="M431" s="43">
        <v>0</v>
      </c>
      <c r="N431" s="1">
        <f t="shared" ref="N431" si="1258">(L431+K431+M431)/E431</f>
        <v>0.40000000000000036</v>
      </c>
      <c r="O431" s="1">
        <f t="shared" ref="O431" si="1259">N431*E431</f>
        <v>1280.0000000000011</v>
      </c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</row>
    <row r="432" spans="1:33" s="32" customFormat="1" ht="15" customHeight="1">
      <c r="A432" s="37">
        <v>44166</v>
      </c>
      <c r="B432" s="57" t="s">
        <v>505</v>
      </c>
      <c r="C432" s="20" t="s">
        <v>47</v>
      </c>
      <c r="D432" s="20">
        <v>2450</v>
      </c>
      <c r="E432" s="38">
        <v>375</v>
      </c>
      <c r="F432" s="20" t="s">
        <v>8</v>
      </c>
      <c r="G432" s="43">
        <v>136</v>
      </c>
      <c r="H432" s="43">
        <v>137.85</v>
      </c>
      <c r="I432" s="43">
        <v>0</v>
      </c>
      <c r="J432" s="43">
        <v>0</v>
      </c>
      <c r="K432" s="1">
        <f t="shared" ref="K432" si="1260">(IF(F432="SELL",G432-H432,IF(F432="BUY",H432-G432)))*E432</f>
        <v>693.74999999999784</v>
      </c>
      <c r="L432" s="43">
        <v>0</v>
      </c>
      <c r="M432" s="43">
        <v>0</v>
      </c>
      <c r="N432" s="1">
        <f t="shared" ref="N432" si="1261">(L432+K432+M432)/E432</f>
        <v>1.8499999999999943</v>
      </c>
      <c r="O432" s="1">
        <f t="shared" ref="O432" si="1262">N432*E432</f>
        <v>693.74999999999784</v>
      </c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</row>
    <row r="433" spans="1:33" s="32" customFormat="1" ht="15" customHeight="1">
      <c r="A433" s="37">
        <v>44166</v>
      </c>
      <c r="B433" s="57" t="s">
        <v>13</v>
      </c>
      <c r="C433" s="20" t="s">
        <v>47</v>
      </c>
      <c r="D433" s="20">
        <v>830</v>
      </c>
      <c r="E433" s="38">
        <v>700</v>
      </c>
      <c r="F433" s="20" t="s">
        <v>8</v>
      </c>
      <c r="G433" s="43">
        <v>36</v>
      </c>
      <c r="H433" s="43">
        <v>34.5</v>
      </c>
      <c r="I433" s="43">
        <v>0</v>
      </c>
      <c r="J433" s="43">
        <v>0</v>
      </c>
      <c r="K433" s="1">
        <f t="shared" ref="K433" si="1263">(IF(F433="SELL",G433-H433,IF(F433="BUY",H433-G433)))*E433</f>
        <v>-1050</v>
      </c>
      <c r="L433" s="43">
        <v>0</v>
      </c>
      <c r="M433" s="43">
        <v>0</v>
      </c>
      <c r="N433" s="1">
        <f t="shared" ref="N433" si="1264">(L433+K433+M433)/E433</f>
        <v>-1.5</v>
      </c>
      <c r="O433" s="1">
        <f t="shared" ref="O433" si="1265">N433*E433</f>
        <v>-1050</v>
      </c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</row>
    <row r="434" spans="1:33" s="32" customFormat="1" ht="15" customHeight="1">
      <c r="A434" s="37">
        <v>44162</v>
      </c>
      <c r="B434" s="57" t="s">
        <v>109</v>
      </c>
      <c r="C434" s="20" t="s">
        <v>47</v>
      </c>
      <c r="D434" s="20">
        <v>350</v>
      </c>
      <c r="E434" s="38">
        <v>3200</v>
      </c>
      <c r="F434" s="20" t="s">
        <v>8</v>
      </c>
      <c r="G434" s="43">
        <v>14.2</v>
      </c>
      <c r="H434" s="43">
        <v>13</v>
      </c>
      <c r="I434" s="43">
        <v>0</v>
      </c>
      <c r="J434" s="43">
        <v>0</v>
      </c>
      <c r="K434" s="1">
        <f t="shared" ref="K434" si="1266">(IF(F434="SELL",G434-H434,IF(F434="BUY",H434-G434)))*E434</f>
        <v>-3839.9999999999977</v>
      </c>
      <c r="L434" s="43">
        <v>0</v>
      </c>
      <c r="M434" s="43">
        <v>0</v>
      </c>
      <c r="N434" s="1">
        <f t="shared" ref="N434" si="1267">(L434+K434+M434)/E434</f>
        <v>-1.1999999999999993</v>
      </c>
      <c r="O434" s="1">
        <f t="shared" ref="O434" si="1268">N434*E434</f>
        <v>-3839.9999999999977</v>
      </c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</row>
    <row r="435" spans="1:33" s="32" customFormat="1" ht="15" customHeight="1">
      <c r="A435" s="37">
        <v>44162</v>
      </c>
      <c r="B435" s="57" t="s">
        <v>72</v>
      </c>
      <c r="C435" s="20" t="s">
        <v>47</v>
      </c>
      <c r="D435" s="20">
        <v>390</v>
      </c>
      <c r="E435" s="38">
        <v>1800</v>
      </c>
      <c r="F435" s="20" t="s">
        <v>8</v>
      </c>
      <c r="G435" s="43">
        <v>17</v>
      </c>
      <c r="H435" s="43">
        <v>15</v>
      </c>
      <c r="I435" s="43">
        <v>0</v>
      </c>
      <c r="J435" s="43">
        <v>0</v>
      </c>
      <c r="K435" s="1">
        <f t="shared" ref="K435" si="1269">(IF(F435="SELL",G435-H435,IF(F435="BUY",H435-G435)))*E435</f>
        <v>-3600</v>
      </c>
      <c r="L435" s="43">
        <v>0</v>
      </c>
      <c r="M435" s="43">
        <v>0</v>
      </c>
      <c r="N435" s="1">
        <f t="shared" ref="N435" si="1270">(L435+K435+M435)/E435</f>
        <v>-2</v>
      </c>
      <c r="O435" s="1">
        <f t="shared" ref="O435" si="1271">N435*E435</f>
        <v>-3600</v>
      </c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</row>
    <row r="436" spans="1:33" s="32" customFormat="1" ht="15" customHeight="1">
      <c r="A436" s="37">
        <v>44161</v>
      </c>
      <c r="B436" s="57" t="s">
        <v>162</v>
      </c>
      <c r="C436" s="20" t="s">
        <v>47</v>
      </c>
      <c r="D436" s="20">
        <v>2450</v>
      </c>
      <c r="E436" s="38">
        <v>250</v>
      </c>
      <c r="F436" s="20" t="s">
        <v>8</v>
      </c>
      <c r="G436" s="43">
        <v>15</v>
      </c>
      <c r="H436" s="43">
        <v>25</v>
      </c>
      <c r="I436" s="43">
        <v>0</v>
      </c>
      <c r="J436" s="43">
        <v>0</v>
      </c>
      <c r="K436" s="1">
        <f t="shared" ref="K436" si="1272">(IF(F436="SELL",G436-H436,IF(F436="BUY",H436-G436)))*E436</f>
        <v>2500</v>
      </c>
      <c r="L436" s="43">
        <v>0</v>
      </c>
      <c r="M436" s="43">
        <v>0</v>
      </c>
      <c r="N436" s="1">
        <f t="shared" ref="N436" si="1273">(L436+K436+M436)/E436</f>
        <v>10</v>
      </c>
      <c r="O436" s="1">
        <f t="shared" ref="O436" si="1274">N436*E436</f>
        <v>2500</v>
      </c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</row>
    <row r="437" spans="1:33" s="32" customFormat="1" ht="15" customHeight="1">
      <c r="A437" s="37">
        <v>44161</v>
      </c>
      <c r="B437" s="57" t="s">
        <v>32</v>
      </c>
      <c r="C437" s="20" t="s">
        <v>47</v>
      </c>
      <c r="D437" s="20">
        <v>860</v>
      </c>
      <c r="E437" s="38">
        <v>650</v>
      </c>
      <c r="F437" s="20" t="s">
        <v>8</v>
      </c>
      <c r="G437" s="43">
        <v>5</v>
      </c>
      <c r="H437" s="43">
        <v>9.5</v>
      </c>
      <c r="I437" s="43">
        <v>0</v>
      </c>
      <c r="J437" s="43">
        <v>0</v>
      </c>
      <c r="K437" s="1">
        <f t="shared" ref="K437" si="1275">(IF(F437="SELL",G437-H437,IF(F437="BUY",H437-G437)))*E437</f>
        <v>2925</v>
      </c>
      <c r="L437" s="43">
        <v>0</v>
      </c>
      <c r="M437" s="43">
        <v>0</v>
      </c>
      <c r="N437" s="1">
        <f t="shared" ref="N437" si="1276">(L437+K437+M437)/E437</f>
        <v>4.5</v>
      </c>
      <c r="O437" s="1">
        <f t="shared" ref="O437" si="1277">N437*E437</f>
        <v>2925</v>
      </c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</row>
    <row r="438" spans="1:33" s="32" customFormat="1" ht="15" customHeight="1">
      <c r="A438" s="37">
        <v>44161</v>
      </c>
      <c r="B438" s="57" t="s">
        <v>17</v>
      </c>
      <c r="C438" s="20" t="s">
        <v>47</v>
      </c>
      <c r="D438" s="20">
        <v>610</v>
      </c>
      <c r="E438" s="38">
        <v>1200</v>
      </c>
      <c r="F438" s="20" t="s">
        <v>8</v>
      </c>
      <c r="G438" s="43">
        <v>1.5</v>
      </c>
      <c r="H438" s="43">
        <v>3</v>
      </c>
      <c r="I438" s="43">
        <v>5</v>
      </c>
      <c r="J438" s="43">
        <v>0</v>
      </c>
      <c r="K438" s="1">
        <f t="shared" ref="K438" si="1278">(IF(F438="SELL",G438-H438,IF(F438="BUY",H438-G438)))*E438</f>
        <v>1800</v>
      </c>
      <c r="L438" s="43">
        <f>E438*2</f>
        <v>2400</v>
      </c>
      <c r="M438" s="43">
        <v>0</v>
      </c>
      <c r="N438" s="1">
        <f t="shared" ref="N438" si="1279">(L438+K438+M438)/E438</f>
        <v>3.5</v>
      </c>
      <c r="O438" s="1">
        <f t="shared" ref="O438" si="1280">N438*E438</f>
        <v>4200</v>
      </c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</row>
    <row r="439" spans="1:33" s="32" customFormat="1" ht="15" customHeight="1">
      <c r="A439" s="37">
        <v>44160</v>
      </c>
      <c r="B439" s="57" t="s">
        <v>415</v>
      </c>
      <c r="C439" s="20" t="s">
        <v>47</v>
      </c>
      <c r="D439" s="20">
        <v>3050</v>
      </c>
      <c r="E439" s="38">
        <v>300</v>
      </c>
      <c r="F439" s="20" t="s">
        <v>8</v>
      </c>
      <c r="G439" s="43">
        <v>18.5</v>
      </c>
      <c r="H439" s="43">
        <v>28</v>
      </c>
      <c r="I439" s="43">
        <v>0</v>
      </c>
      <c r="J439" s="43">
        <v>0</v>
      </c>
      <c r="K439" s="1">
        <f t="shared" ref="K439" si="1281">(IF(F439="SELL",G439-H439,IF(F439="BUY",H439-G439)))*E439</f>
        <v>2850</v>
      </c>
      <c r="L439" s="43">
        <v>0</v>
      </c>
      <c r="M439" s="43">
        <v>0</v>
      </c>
      <c r="N439" s="1">
        <f t="shared" ref="N439" si="1282">(L439+K439+M439)/E439</f>
        <v>9.5</v>
      </c>
      <c r="O439" s="1">
        <f t="shared" ref="O439" si="1283">N439*E439</f>
        <v>2850</v>
      </c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  <c r="AG439" s="31"/>
    </row>
    <row r="440" spans="1:33" s="32" customFormat="1" ht="15" customHeight="1">
      <c r="A440" s="37">
        <v>44160</v>
      </c>
      <c r="B440" s="57" t="s">
        <v>332</v>
      </c>
      <c r="C440" s="20" t="s">
        <v>46</v>
      </c>
      <c r="D440" s="20">
        <v>860</v>
      </c>
      <c r="E440" s="38">
        <v>1200</v>
      </c>
      <c r="F440" s="20" t="s">
        <v>8</v>
      </c>
      <c r="G440" s="43">
        <v>7</v>
      </c>
      <c r="H440" s="43">
        <v>9.9</v>
      </c>
      <c r="I440" s="43">
        <v>0</v>
      </c>
      <c r="J440" s="43">
        <v>0</v>
      </c>
      <c r="K440" s="1">
        <f t="shared" ref="K440" si="1284">(IF(F440="SELL",G440-H440,IF(F440="BUY",H440-G440)))*E440</f>
        <v>3480.0000000000005</v>
      </c>
      <c r="L440" s="43">
        <v>0</v>
      </c>
      <c r="M440" s="43">
        <v>0</v>
      </c>
      <c r="N440" s="1">
        <f t="shared" ref="N440" si="1285">(L440+K440+M440)/E440</f>
        <v>2.9000000000000004</v>
      </c>
      <c r="O440" s="1">
        <f t="shared" ref="O440" si="1286">N440*E440</f>
        <v>3480.0000000000005</v>
      </c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F440" s="31"/>
      <c r="AG440" s="31"/>
    </row>
    <row r="441" spans="1:33" s="32" customFormat="1" ht="15" customHeight="1">
      <c r="A441" s="37">
        <v>44159</v>
      </c>
      <c r="B441" s="57" t="s">
        <v>106</v>
      </c>
      <c r="C441" s="20" t="s">
        <v>47</v>
      </c>
      <c r="D441" s="20">
        <v>4900</v>
      </c>
      <c r="E441" s="38">
        <v>250</v>
      </c>
      <c r="F441" s="20" t="s">
        <v>8</v>
      </c>
      <c r="G441" s="43">
        <v>68</v>
      </c>
      <c r="H441" s="43">
        <v>85</v>
      </c>
      <c r="I441" s="43">
        <v>94</v>
      </c>
      <c r="J441" s="43">
        <v>0</v>
      </c>
      <c r="K441" s="1">
        <f t="shared" ref="K441" si="1287">(IF(F441="SELL",G441-H441,IF(F441="BUY",H441-G441)))*E441</f>
        <v>4250</v>
      </c>
      <c r="L441" s="43">
        <f>E441*9</f>
        <v>2250</v>
      </c>
      <c r="M441" s="43">
        <v>0</v>
      </c>
      <c r="N441" s="1">
        <f t="shared" ref="N441" si="1288">(L441+K441+M441)/E441</f>
        <v>26</v>
      </c>
      <c r="O441" s="1">
        <f t="shared" ref="O441" si="1289">N441*E441</f>
        <v>6500</v>
      </c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F441" s="31"/>
      <c r="AG441" s="31"/>
    </row>
    <row r="442" spans="1:33" s="32" customFormat="1" ht="15" customHeight="1">
      <c r="A442" s="37">
        <v>44159</v>
      </c>
      <c r="B442" s="57" t="s">
        <v>367</v>
      </c>
      <c r="C442" s="20" t="s">
        <v>47</v>
      </c>
      <c r="D442" s="20">
        <v>177.5</v>
      </c>
      <c r="E442" s="38">
        <v>5000</v>
      </c>
      <c r="F442" s="20" t="s">
        <v>8</v>
      </c>
      <c r="G442" s="43">
        <v>3</v>
      </c>
      <c r="H442" s="43">
        <v>3.7</v>
      </c>
      <c r="I442" s="43">
        <v>0</v>
      </c>
      <c r="J442" s="43">
        <v>0</v>
      </c>
      <c r="K442" s="1">
        <f t="shared" ref="K442" si="1290">(IF(F442="SELL",G442-H442,IF(F442="BUY",H442-G442)))*E442</f>
        <v>3500.0000000000009</v>
      </c>
      <c r="L442" s="43">
        <v>0</v>
      </c>
      <c r="M442" s="43">
        <v>0</v>
      </c>
      <c r="N442" s="1">
        <f t="shared" ref="N442" si="1291">(L442+K442+M442)/E442</f>
        <v>0.70000000000000018</v>
      </c>
      <c r="O442" s="1">
        <f t="shared" ref="O442" si="1292">N442*E442</f>
        <v>3500.0000000000009</v>
      </c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F442" s="31"/>
      <c r="AG442" s="31"/>
    </row>
    <row r="443" spans="1:33" s="32" customFormat="1" ht="15" customHeight="1">
      <c r="A443" s="37">
        <v>44159</v>
      </c>
      <c r="B443" s="57" t="s">
        <v>54</v>
      </c>
      <c r="C443" s="20" t="s">
        <v>47</v>
      </c>
      <c r="D443" s="20">
        <v>430</v>
      </c>
      <c r="E443" s="38">
        <v>1500</v>
      </c>
      <c r="F443" s="20" t="s">
        <v>8</v>
      </c>
      <c r="G443" s="43">
        <v>7.5</v>
      </c>
      <c r="H443" s="43">
        <v>5.3</v>
      </c>
      <c r="I443" s="43">
        <v>0</v>
      </c>
      <c r="J443" s="43">
        <v>0</v>
      </c>
      <c r="K443" s="1">
        <f t="shared" ref="K443" si="1293">(IF(F443="SELL",G443-H443,IF(F443="BUY",H443-G443)))*E443</f>
        <v>-3300.0000000000005</v>
      </c>
      <c r="L443" s="43">
        <v>0</v>
      </c>
      <c r="M443" s="43">
        <v>0</v>
      </c>
      <c r="N443" s="1">
        <f t="shared" ref="N443" si="1294">(L443+K443+M443)/E443</f>
        <v>-2.2000000000000002</v>
      </c>
      <c r="O443" s="1">
        <f t="shared" ref="O443" si="1295">N443*E443</f>
        <v>-3300.0000000000005</v>
      </c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F443" s="31"/>
      <c r="AG443" s="31"/>
    </row>
    <row r="444" spans="1:33" s="32" customFormat="1" ht="15" customHeight="1">
      <c r="A444" s="37">
        <v>44158</v>
      </c>
      <c r="B444" s="57" t="s">
        <v>504</v>
      </c>
      <c r="C444" s="20" t="s">
        <v>47</v>
      </c>
      <c r="D444" s="20">
        <v>92.5</v>
      </c>
      <c r="E444" s="38">
        <v>6700</v>
      </c>
      <c r="F444" s="20" t="s">
        <v>8</v>
      </c>
      <c r="G444" s="43">
        <v>1.65</v>
      </c>
      <c r="H444" s="43">
        <v>2.1</v>
      </c>
      <c r="I444" s="43">
        <v>0</v>
      </c>
      <c r="J444" s="43">
        <v>0</v>
      </c>
      <c r="K444" s="1">
        <f t="shared" ref="K444" si="1296">(IF(F444="SELL",G444-H444,IF(F444="BUY",H444-G444)))*E444</f>
        <v>3015.0000000000014</v>
      </c>
      <c r="L444" s="43">
        <v>0</v>
      </c>
      <c r="M444" s="43">
        <v>0</v>
      </c>
      <c r="N444" s="1">
        <f t="shared" ref="N444" si="1297">(L444+K444+M444)/E444</f>
        <v>0.45000000000000018</v>
      </c>
      <c r="O444" s="1">
        <f t="shared" ref="O444" si="1298">N444*E444</f>
        <v>3015.0000000000014</v>
      </c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F444" s="31"/>
      <c r="AG444" s="31"/>
    </row>
    <row r="445" spans="1:33" s="32" customFormat="1" ht="15" customHeight="1">
      <c r="A445" s="37">
        <v>44158</v>
      </c>
      <c r="B445" s="57" t="s">
        <v>398</v>
      </c>
      <c r="C445" s="20" t="s">
        <v>46</v>
      </c>
      <c r="D445" s="20">
        <v>210</v>
      </c>
      <c r="E445" s="38">
        <v>2800</v>
      </c>
      <c r="F445" s="20" t="s">
        <v>8</v>
      </c>
      <c r="G445" s="43">
        <v>4.25</v>
      </c>
      <c r="H445" s="43">
        <v>4.75</v>
      </c>
      <c r="I445" s="43">
        <v>0</v>
      </c>
      <c r="J445" s="43">
        <v>0</v>
      </c>
      <c r="K445" s="1">
        <f t="shared" ref="K445" si="1299">(IF(F445="SELL",G445-H445,IF(F445="BUY",H445-G445)))*E445</f>
        <v>1400</v>
      </c>
      <c r="L445" s="43">
        <v>0</v>
      </c>
      <c r="M445" s="43">
        <v>0</v>
      </c>
      <c r="N445" s="1">
        <f t="shared" ref="N445" si="1300">(L445+K445+M445)/E445</f>
        <v>0.5</v>
      </c>
      <c r="O445" s="1">
        <f t="shared" ref="O445" si="1301">N445*E445</f>
        <v>1400</v>
      </c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F445" s="31"/>
      <c r="AG445" s="31"/>
    </row>
    <row r="446" spans="1:33" s="32" customFormat="1" ht="15" customHeight="1">
      <c r="A446" s="37">
        <v>44158</v>
      </c>
      <c r="B446" s="57" t="s">
        <v>367</v>
      </c>
      <c r="C446" s="20" t="s">
        <v>47</v>
      </c>
      <c r="D446" s="20">
        <v>177.5</v>
      </c>
      <c r="E446" s="38">
        <v>5000</v>
      </c>
      <c r="F446" s="20" t="s">
        <v>8</v>
      </c>
      <c r="G446" s="43">
        <v>3.1</v>
      </c>
      <c r="H446" s="43">
        <v>2.2000000000000002</v>
      </c>
      <c r="I446" s="43">
        <v>0</v>
      </c>
      <c r="J446" s="43">
        <v>0</v>
      </c>
      <c r="K446" s="1">
        <f t="shared" ref="K446" si="1302">(IF(F446="SELL",G446-H446,IF(F446="BUY",H446-G446)))*E446</f>
        <v>-4500</v>
      </c>
      <c r="L446" s="43">
        <v>0</v>
      </c>
      <c r="M446" s="43">
        <v>0</v>
      </c>
      <c r="N446" s="1">
        <f t="shared" ref="N446" si="1303">(L446+K446+M446)/E446</f>
        <v>-0.9</v>
      </c>
      <c r="O446" s="1">
        <f t="shared" ref="O446" si="1304">N446*E446</f>
        <v>-4500</v>
      </c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F446" s="31"/>
      <c r="AG446" s="31"/>
    </row>
    <row r="447" spans="1:33" s="32" customFormat="1" ht="15" customHeight="1">
      <c r="A447" s="37">
        <v>44155</v>
      </c>
      <c r="B447" s="57" t="s">
        <v>72</v>
      </c>
      <c r="C447" s="20" t="s">
        <v>47</v>
      </c>
      <c r="D447" s="20">
        <v>390</v>
      </c>
      <c r="E447" s="38">
        <v>1800</v>
      </c>
      <c r="F447" s="20" t="s">
        <v>8</v>
      </c>
      <c r="G447" s="43">
        <v>8.1999999999999993</v>
      </c>
      <c r="H447" s="43">
        <v>9.6999999999999993</v>
      </c>
      <c r="I447" s="43">
        <v>0</v>
      </c>
      <c r="J447" s="43">
        <v>0</v>
      </c>
      <c r="K447" s="1">
        <f t="shared" ref="K447" si="1305">(IF(F447="SELL",G447-H447,IF(F447="BUY",H447-G447)))*E447</f>
        <v>2700</v>
      </c>
      <c r="L447" s="43">
        <v>0</v>
      </c>
      <c r="M447" s="43">
        <v>0</v>
      </c>
      <c r="N447" s="1">
        <f t="shared" ref="N447" si="1306">(L447+K447+M447)/E447</f>
        <v>1.5</v>
      </c>
      <c r="O447" s="1">
        <f t="shared" ref="O447" si="1307">N447*E447</f>
        <v>2700</v>
      </c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F447" s="31"/>
      <c r="AG447" s="31"/>
    </row>
    <row r="448" spans="1:33" s="32" customFormat="1" ht="15" customHeight="1">
      <c r="A448" s="37">
        <v>44155</v>
      </c>
      <c r="B448" s="57" t="s">
        <v>109</v>
      </c>
      <c r="C448" s="20" t="s">
        <v>47</v>
      </c>
      <c r="D448" s="20">
        <v>347.5</v>
      </c>
      <c r="E448" s="38">
        <v>3200</v>
      </c>
      <c r="F448" s="20" t="s">
        <v>8</v>
      </c>
      <c r="G448" s="43">
        <v>4.55</v>
      </c>
      <c r="H448" s="43">
        <v>4.95</v>
      </c>
      <c r="I448" s="43">
        <v>0</v>
      </c>
      <c r="J448" s="43">
        <v>0</v>
      </c>
      <c r="K448" s="1">
        <f t="shared" ref="K448" si="1308">(IF(F448="SELL",G448-H448,IF(F448="BUY",H448-G448)))*E448</f>
        <v>1280.0000000000011</v>
      </c>
      <c r="L448" s="43">
        <v>0</v>
      </c>
      <c r="M448" s="43">
        <v>0</v>
      </c>
      <c r="N448" s="1">
        <f t="shared" ref="N448" si="1309">(L448+K448+M448)/E448</f>
        <v>0.40000000000000036</v>
      </c>
      <c r="O448" s="1">
        <f t="shared" ref="O448" si="1310">N448*E448</f>
        <v>1280.0000000000011</v>
      </c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F448" s="31"/>
      <c r="AG448" s="31"/>
    </row>
    <row r="449" spans="1:33" s="32" customFormat="1" ht="15" customHeight="1">
      <c r="A449" s="37">
        <v>44155</v>
      </c>
      <c r="B449" s="57" t="s">
        <v>404</v>
      </c>
      <c r="C449" s="20" t="s">
        <v>47</v>
      </c>
      <c r="D449" s="20">
        <v>115</v>
      </c>
      <c r="E449" s="38">
        <v>6000</v>
      </c>
      <c r="F449" s="20" t="s">
        <v>8</v>
      </c>
      <c r="G449" s="43">
        <v>1.85</v>
      </c>
      <c r="H449" s="43">
        <v>1.85</v>
      </c>
      <c r="I449" s="43">
        <v>0</v>
      </c>
      <c r="J449" s="43">
        <v>0</v>
      </c>
      <c r="K449" s="1">
        <f t="shared" ref="K449" si="1311">(IF(F449="SELL",G449-H449,IF(F449="BUY",H449-G449)))*E449</f>
        <v>0</v>
      </c>
      <c r="L449" s="43">
        <v>0</v>
      </c>
      <c r="M449" s="43">
        <v>0</v>
      </c>
      <c r="N449" s="1">
        <f t="shared" ref="N449" si="1312">(L449+K449+M449)/E449</f>
        <v>0</v>
      </c>
      <c r="O449" s="1">
        <f t="shared" ref="O449" si="1313">N449*E449</f>
        <v>0</v>
      </c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F449" s="31"/>
      <c r="AG449" s="31"/>
    </row>
    <row r="450" spans="1:33" s="32" customFormat="1" ht="15" customHeight="1">
      <c r="A450" s="37">
        <v>44155</v>
      </c>
      <c r="B450" s="57" t="s">
        <v>367</v>
      </c>
      <c r="C450" s="20" t="s">
        <v>47</v>
      </c>
      <c r="D450" s="20">
        <v>347.5</v>
      </c>
      <c r="E450" s="38">
        <v>5000</v>
      </c>
      <c r="F450" s="20" t="s">
        <v>8</v>
      </c>
      <c r="G450" s="43">
        <v>3.3</v>
      </c>
      <c r="H450" s="43">
        <v>3.2</v>
      </c>
      <c r="I450" s="43">
        <v>0</v>
      </c>
      <c r="J450" s="43">
        <v>0</v>
      </c>
      <c r="K450" s="1">
        <f t="shared" ref="K450" si="1314">(IF(F450="SELL",G450-H450,IF(F450="BUY",H450-G450)))*E450</f>
        <v>-499.99999999999824</v>
      </c>
      <c r="L450" s="43">
        <v>0</v>
      </c>
      <c r="M450" s="43">
        <v>0</v>
      </c>
      <c r="N450" s="1">
        <f t="shared" ref="N450" si="1315">(L450+K450+M450)/E450</f>
        <v>-9.9999999999999645E-2</v>
      </c>
      <c r="O450" s="1">
        <f t="shared" ref="O450" si="1316">N450*E450</f>
        <v>-499.99999999999824</v>
      </c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F450" s="31"/>
      <c r="AG450" s="31"/>
    </row>
    <row r="451" spans="1:33" s="32" customFormat="1" ht="15" customHeight="1">
      <c r="A451" s="37">
        <v>44154</v>
      </c>
      <c r="B451" s="57" t="s">
        <v>386</v>
      </c>
      <c r="C451" s="20" t="s">
        <v>47</v>
      </c>
      <c r="D451" s="20">
        <v>1300</v>
      </c>
      <c r="E451" s="38">
        <v>750</v>
      </c>
      <c r="F451" s="20" t="s">
        <v>8</v>
      </c>
      <c r="G451" s="43">
        <v>20</v>
      </c>
      <c r="H451" s="43">
        <v>25</v>
      </c>
      <c r="I451" s="43">
        <v>35</v>
      </c>
      <c r="J451" s="43">
        <v>0</v>
      </c>
      <c r="K451" s="1">
        <f t="shared" ref="K451" si="1317">(IF(F451="SELL",G451-H451,IF(F451="BUY",H451-G451)))*E451</f>
        <v>3750</v>
      </c>
      <c r="L451" s="43">
        <f>E451*10</f>
        <v>7500</v>
      </c>
      <c r="M451" s="43">
        <v>0</v>
      </c>
      <c r="N451" s="1">
        <f t="shared" ref="N451" si="1318">(L451+K451+M451)/E451</f>
        <v>15</v>
      </c>
      <c r="O451" s="1">
        <f t="shared" ref="O451" si="1319">N451*E451</f>
        <v>11250</v>
      </c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F451" s="31"/>
      <c r="AG451" s="31"/>
    </row>
    <row r="452" spans="1:33" s="32" customFormat="1" ht="15" customHeight="1">
      <c r="A452" s="37">
        <v>44154</v>
      </c>
      <c r="B452" s="57" t="s">
        <v>404</v>
      </c>
      <c r="C452" s="20" t="s">
        <v>47</v>
      </c>
      <c r="D452" s="20">
        <v>115</v>
      </c>
      <c r="E452" s="38">
        <v>6000</v>
      </c>
      <c r="F452" s="20" t="s">
        <v>8</v>
      </c>
      <c r="G452" s="43">
        <v>2.2000000000000002</v>
      </c>
      <c r="H452" s="43">
        <v>3</v>
      </c>
      <c r="I452" s="43">
        <v>4.3</v>
      </c>
      <c r="J452" s="43">
        <v>0</v>
      </c>
      <c r="K452" s="1">
        <f t="shared" ref="K452" si="1320">(IF(F452="SELL",G452-H452,IF(F452="BUY",H452-G452)))*E452</f>
        <v>4799.9999999999991</v>
      </c>
      <c r="L452" s="43">
        <f>E452*1.3</f>
        <v>7800</v>
      </c>
      <c r="M452" s="43">
        <v>0</v>
      </c>
      <c r="N452" s="1">
        <f t="shared" ref="N452" si="1321">(L452+K452+M452)/E452</f>
        <v>2.1</v>
      </c>
      <c r="O452" s="1">
        <f t="shared" ref="O452" si="1322">N452*E452</f>
        <v>12600</v>
      </c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F452" s="31"/>
      <c r="AG452" s="31"/>
    </row>
    <row r="453" spans="1:33" s="32" customFormat="1" ht="15" customHeight="1">
      <c r="A453" s="37">
        <v>44154</v>
      </c>
      <c r="B453" s="57" t="s">
        <v>28</v>
      </c>
      <c r="C453" s="20" t="s">
        <v>47</v>
      </c>
      <c r="D453" s="20">
        <v>480</v>
      </c>
      <c r="E453" s="38">
        <v>1851</v>
      </c>
      <c r="F453" s="20" t="s">
        <v>8</v>
      </c>
      <c r="G453" s="43">
        <v>9</v>
      </c>
      <c r="H453" s="43">
        <v>11</v>
      </c>
      <c r="I453" s="43">
        <v>0</v>
      </c>
      <c r="J453" s="43">
        <v>0</v>
      </c>
      <c r="K453" s="1">
        <f t="shared" ref="K453" si="1323">(IF(F453="SELL",G453-H453,IF(F453="BUY",H453-G453)))*E453</f>
        <v>3702</v>
      </c>
      <c r="L453" s="43">
        <v>0</v>
      </c>
      <c r="M453" s="43">
        <v>0</v>
      </c>
      <c r="N453" s="1">
        <f t="shared" ref="N453" si="1324">(L453+K453+M453)/E453</f>
        <v>2</v>
      </c>
      <c r="O453" s="1">
        <f t="shared" ref="O453" si="1325">N453*E453</f>
        <v>3702</v>
      </c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F453" s="31"/>
      <c r="AG453" s="31"/>
    </row>
    <row r="454" spans="1:33" s="32" customFormat="1" ht="15" customHeight="1">
      <c r="A454" s="37">
        <v>44153</v>
      </c>
      <c r="B454" s="57" t="s">
        <v>503</v>
      </c>
      <c r="C454" s="20" t="s">
        <v>47</v>
      </c>
      <c r="D454" s="20">
        <v>100</v>
      </c>
      <c r="E454" s="38">
        <v>7200</v>
      </c>
      <c r="F454" s="20" t="s">
        <v>8</v>
      </c>
      <c r="G454" s="43">
        <v>2</v>
      </c>
      <c r="H454" s="43">
        <v>2.4</v>
      </c>
      <c r="I454" s="43">
        <v>0</v>
      </c>
      <c r="J454" s="43">
        <v>0</v>
      </c>
      <c r="K454" s="1">
        <f t="shared" ref="K454" si="1326">(IF(F454="SELL",G454-H454,IF(F454="BUY",H454-G454)))*E454</f>
        <v>2879.9999999999995</v>
      </c>
      <c r="L454" s="43">
        <v>0</v>
      </c>
      <c r="M454" s="43">
        <v>0</v>
      </c>
      <c r="N454" s="1">
        <f t="shared" ref="N454" si="1327">(L454+K454+M454)/E454</f>
        <v>0.39999999999999991</v>
      </c>
      <c r="O454" s="1">
        <f t="shared" ref="O454" si="1328">N454*E454</f>
        <v>2879.9999999999995</v>
      </c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F454" s="31"/>
      <c r="AG454" s="31"/>
    </row>
    <row r="455" spans="1:33" s="32" customFormat="1" ht="15" customHeight="1">
      <c r="A455" s="37">
        <v>44153</v>
      </c>
      <c r="B455" s="57" t="s">
        <v>386</v>
      </c>
      <c r="C455" s="20" t="s">
        <v>47</v>
      </c>
      <c r="D455" s="20">
        <v>1280</v>
      </c>
      <c r="E455" s="38">
        <v>750</v>
      </c>
      <c r="F455" s="20" t="s">
        <v>8</v>
      </c>
      <c r="G455" s="43">
        <v>25</v>
      </c>
      <c r="H455" s="43">
        <v>27.45</v>
      </c>
      <c r="I455" s="43">
        <v>0</v>
      </c>
      <c r="J455" s="43">
        <v>0</v>
      </c>
      <c r="K455" s="1">
        <f t="shared" ref="K455" si="1329">(IF(F455="SELL",G455-H455,IF(F455="BUY",H455-G455)))*E455</f>
        <v>1837.4999999999995</v>
      </c>
      <c r="L455" s="43">
        <v>0</v>
      </c>
      <c r="M455" s="43">
        <v>0</v>
      </c>
      <c r="N455" s="1">
        <f t="shared" ref="N455" si="1330">(L455+K455+M455)/E455</f>
        <v>2.4499999999999993</v>
      </c>
      <c r="O455" s="1">
        <f t="shared" ref="O455" si="1331">N455*E455</f>
        <v>1837.4999999999995</v>
      </c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F455" s="31"/>
      <c r="AG455" s="31"/>
    </row>
    <row r="456" spans="1:33" s="32" customFormat="1" ht="15" customHeight="1">
      <c r="A456" s="37">
        <v>44152</v>
      </c>
      <c r="B456" s="57" t="s">
        <v>476</v>
      </c>
      <c r="C456" s="20" t="s">
        <v>47</v>
      </c>
      <c r="D456" s="20">
        <v>160</v>
      </c>
      <c r="E456" s="38">
        <v>6000</v>
      </c>
      <c r="F456" s="20" t="s">
        <v>8</v>
      </c>
      <c r="G456" s="43">
        <v>5.5</v>
      </c>
      <c r="H456" s="43">
        <v>6</v>
      </c>
      <c r="I456" s="43">
        <v>6.95</v>
      </c>
      <c r="J456" s="43">
        <v>0</v>
      </c>
      <c r="K456" s="1">
        <f t="shared" ref="K456" si="1332">(IF(F456="SELL",G456-H456,IF(F456="BUY",H456-G456)))*E456</f>
        <v>3000</v>
      </c>
      <c r="L456" s="43">
        <f>E456*0.95</f>
        <v>5700</v>
      </c>
      <c r="M456" s="43">
        <v>0</v>
      </c>
      <c r="N456" s="1">
        <f t="shared" ref="N456" si="1333">(L456+K456+M456)/E456</f>
        <v>1.45</v>
      </c>
      <c r="O456" s="1">
        <f t="shared" ref="O456" si="1334">N456*E456</f>
        <v>8700</v>
      </c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F456" s="31"/>
      <c r="AG456" s="31"/>
    </row>
    <row r="457" spans="1:33" s="32" customFormat="1" ht="15" customHeight="1">
      <c r="A457" s="37">
        <v>44152</v>
      </c>
      <c r="B457" s="57" t="s">
        <v>109</v>
      </c>
      <c r="C457" s="20" t="s">
        <v>47</v>
      </c>
      <c r="D457" s="20">
        <v>350</v>
      </c>
      <c r="E457" s="38">
        <v>3200</v>
      </c>
      <c r="F457" s="20" t="s">
        <v>8</v>
      </c>
      <c r="G457" s="43">
        <v>6</v>
      </c>
      <c r="H457" s="43">
        <v>7</v>
      </c>
      <c r="I457" s="43">
        <v>0</v>
      </c>
      <c r="J457" s="43">
        <v>0</v>
      </c>
      <c r="K457" s="1">
        <f t="shared" ref="K457" si="1335">(IF(F457="SELL",G457-H457,IF(F457="BUY",H457-G457)))*E457</f>
        <v>3200</v>
      </c>
      <c r="L457" s="43">
        <v>0</v>
      </c>
      <c r="M457" s="43">
        <v>0</v>
      </c>
      <c r="N457" s="1">
        <f t="shared" ref="N457" si="1336">(L457+K457+M457)/E457</f>
        <v>1</v>
      </c>
      <c r="O457" s="1">
        <f t="shared" ref="O457" si="1337">N457*E457</f>
        <v>3200</v>
      </c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F457" s="31"/>
      <c r="AG457" s="31"/>
    </row>
    <row r="458" spans="1:33" s="32" customFormat="1" ht="15" customHeight="1">
      <c r="A458" s="37">
        <v>44152</v>
      </c>
      <c r="B458" s="57" t="s">
        <v>60</v>
      </c>
      <c r="C458" s="20" t="s">
        <v>47</v>
      </c>
      <c r="D458" s="20">
        <v>110</v>
      </c>
      <c r="E458" s="38">
        <v>6200</v>
      </c>
      <c r="F458" s="20" t="s">
        <v>8</v>
      </c>
      <c r="G458" s="43">
        <v>2.9</v>
      </c>
      <c r="H458" s="43">
        <v>3.45</v>
      </c>
      <c r="I458" s="43">
        <v>0</v>
      </c>
      <c r="J458" s="43">
        <v>0</v>
      </c>
      <c r="K458" s="1">
        <f t="shared" ref="K458" si="1338">(IF(F458="SELL",G458-H458,IF(F458="BUY",H458-G458)))*E458</f>
        <v>3410.0000000000018</v>
      </c>
      <c r="L458" s="43">
        <v>0</v>
      </c>
      <c r="M458" s="43">
        <v>0</v>
      </c>
      <c r="N458" s="1">
        <f t="shared" ref="N458" si="1339">(L458+K458+M458)/E458</f>
        <v>0.55000000000000027</v>
      </c>
      <c r="O458" s="1">
        <f t="shared" ref="O458" si="1340">N458*E458</f>
        <v>3410.0000000000018</v>
      </c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F458" s="31"/>
      <c r="AG458" s="31"/>
    </row>
    <row r="459" spans="1:33" s="32" customFormat="1" ht="15" customHeight="1">
      <c r="A459" s="37">
        <v>44147</v>
      </c>
      <c r="B459" s="57" t="s">
        <v>367</v>
      </c>
      <c r="C459" s="20" t="s">
        <v>47</v>
      </c>
      <c r="D459" s="20">
        <v>160</v>
      </c>
      <c r="E459" s="38">
        <v>5000</v>
      </c>
      <c r="F459" s="20" t="s">
        <v>8</v>
      </c>
      <c r="G459" s="43">
        <v>6.6</v>
      </c>
      <c r="H459" s="43">
        <v>7.5</v>
      </c>
      <c r="I459" s="43">
        <v>8.5</v>
      </c>
      <c r="J459" s="43">
        <v>0</v>
      </c>
      <c r="K459" s="1">
        <f t="shared" ref="K459" si="1341">(IF(F459="SELL",G459-H459,IF(F459="BUY",H459-G459)))*E459</f>
        <v>4500.0000000000018</v>
      </c>
      <c r="L459" s="43">
        <f>E459*1</f>
        <v>5000</v>
      </c>
      <c r="M459" s="43">
        <v>0</v>
      </c>
      <c r="N459" s="1">
        <f t="shared" ref="N459" si="1342">(L459+K459+M459)/E459</f>
        <v>1.9000000000000004</v>
      </c>
      <c r="O459" s="1">
        <f t="shared" ref="O459" si="1343">N459*E459</f>
        <v>9500.0000000000018</v>
      </c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F459" s="31"/>
      <c r="AG459" s="31"/>
    </row>
    <row r="460" spans="1:33" s="32" customFormat="1" ht="15" customHeight="1">
      <c r="A460" s="37">
        <v>44147</v>
      </c>
      <c r="B460" s="57" t="s">
        <v>54</v>
      </c>
      <c r="C460" s="20" t="s">
        <v>47</v>
      </c>
      <c r="D460" s="20">
        <v>440</v>
      </c>
      <c r="E460" s="38">
        <v>1500</v>
      </c>
      <c r="F460" s="20" t="s">
        <v>8</v>
      </c>
      <c r="G460" s="43">
        <v>21.9</v>
      </c>
      <c r="H460" s="43">
        <v>22</v>
      </c>
      <c r="I460" s="43">
        <v>0</v>
      </c>
      <c r="J460" s="43">
        <v>0</v>
      </c>
      <c r="K460" s="1">
        <f t="shared" ref="K460" si="1344">(IF(F460="SELL",G460-H460,IF(F460="BUY",H460-G460)))*E460</f>
        <v>150.00000000000213</v>
      </c>
      <c r="L460" s="43">
        <v>0</v>
      </c>
      <c r="M460" s="43">
        <v>0</v>
      </c>
      <c r="N460" s="1">
        <f t="shared" ref="N460" si="1345">(L460+K460+M460)/E460</f>
        <v>0.10000000000000142</v>
      </c>
      <c r="O460" s="1">
        <f t="shared" ref="O460" si="1346">N460*E460</f>
        <v>150.00000000000213</v>
      </c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F460" s="31"/>
      <c r="AG460" s="31"/>
    </row>
    <row r="461" spans="1:33" s="32" customFormat="1" ht="15" customHeight="1">
      <c r="A461" s="37">
        <v>44147</v>
      </c>
      <c r="B461" s="57" t="s">
        <v>368</v>
      </c>
      <c r="C461" s="20" t="s">
        <v>47</v>
      </c>
      <c r="D461" s="20">
        <v>195</v>
      </c>
      <c r="E461" s="38">
        <v>3000</v>
      </c>
      <c r="F461" s="20" t="s">
        <v>8</v>
      </c>
      <c r="G461" s="43">
        <v>10</v>
      </c>
      <c r="H461" s="43">
        <v>10</v>
      </c>
      <c r="I461" s="43">
        <v>0</v>
      </c>
      <c r="J461" s="43">
        <v>0</v>
      </c>
      <c r="K461" s="1">
        <f t="shared" ref="K461" si="1347">(IF(F461="SELL",G461-H461,IF(F461="BUY",H461-G461)))*E461</f>
        <v>0</v>
      </c>
      <c r="L461" s="43">
        <v>0</v>
      </c>
      <c r="M461" s="43">
        <v>0</v>
      </c>
      <c r="N461" s="1">
        <f t="shared" ref="N461" si="1348">(L461+K461+M461)/E461</f>
        <v>0</v>
      </c>
      <c r="O461" s="1">
        <f t="shared" ref="O461" si="1349">N461*E461</f>
        <v>0</v>
      </c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F461" s="31"/>
      <c r="AG461" s="31"/>
    </row>
    <row r="462" spans="1:33" s="32" customFormat="1" ht="15" customHeight="1">
      <c r="A462" s="37">
        <v>44146</v>
      </c>
      <c r="B462" s="57" t="s">
        <v>367</v>
      </c>
      <c r="C462" s="20" t="s">
        <v>47</v>
      </c>
      <c r="D462" s="20">
        <v>160</v>
      </c>
      <c r="E462" s="38">
        <v>5000</v>
      </c>
      <c r="F462" s="20" t="s">
        <v>8</v>
      </c>
      <c r="G462" s="43">
        <v>5.7</v>
      </c>
      <c r="H462" s="43">
        <v>6.5</v>
      </c>
      <c r="I462" s="43">
        <v>6.75</v>
      </c>
      <c r="J462" s="43">
        <v>0</v>
      </c>
      <c r="K462" s="1">
        <f t="shared" ref="K462" si="1350">(IF(F462="SELL",G462-H462,IF(F462="BUY",H462-G462)))*E462</f>
        <v>3999.9999999999991</v>
      </c>
      <c r="L462" s="43">
        <f>E462*0.25</f>
        <v>1250</v>
      </c>
      <c r="M462" s="43">
        <v>0</v>
      </c>
      <c r="N462" s="1">
        <f t="shared" ref="N462" si="1351">(L462+K462+M462)/E462</f>
        <v>1.0499999999999998</v>
      </c>
      <c r="O462" s="1">
        <f t="shared" ref="O462" si="1352">N462*E462</f>
        <v>5249.9999999999991</v>
      </c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  <c r="AF462" s="31"/>
      <c r="AG462" s="31"/>
    </row>
    <row r="463" spans="1:33" s="32" customFormat="1" ht="15" customHeight="1">
      <c r="A463" s="37">
        <v>44146</v>
      </c>
      <c r="B463" s="57" t="s">
        <v>109</v>
      </c>
      <c r="C463" s="20" t="s">
        <v>47</v>
      </c>
      <c r="D463" s="20">
        <v>350</v>
      </c>
      <c r="E463" s="38">
        <v>3200</v>
      </c>
      <c r="F463" s="20" t="s">
        <v>8</v>
      </c>
      <c r="G463" s="43">
        <v>6</v>
      </c>
      <c r="H463" s="43">
        <v>6.5</v>
      </c>
      <c r="I463" s="43">
        <v>0</v>
      </c>
      <c r="J463" s="43">
        <v>0</v>
      </c>
      <c r="K463" s="1">
        <f t="shared" ref="K463" si="1353">(IF(F463="SELL",G463-H463,IF(F463="BUY",H463-G463)))*E463</f>
        <v>1600</v>
      </c>
      <c r="L463" s="43">
        <v>0</v>
      </c>
      <c r="M463" s="43">
        <v>0</v>
      </c>
      <c r="N463" s="1">
        <f t="shared" ref="N463" si="1354">(L463+K463+M463)/E463</f>
        <v>0.5</v>
      </c>
      <c r="O463" s="1">
        <f t="shared" ref="O463" si="1355">N463*E463</f>
        <v>1600</v>
      </c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F463" s="31"/>
      <c r="AG463" s="31"/>
    </row>
    <row r="464" spans="1:33" s="32" customFormat="1" ht="15" customHeight="1">
      <c r="A464" s="37">
        <v>44146</v>
      </c>
      <c r="B464" s="57" t="s">
        <v>332</v>
      </c>
      <c r="C464" s="20" t="s">
        <v>47</v>
      </c>
      <c r="D464" s="20">
        <v>820</v>
      </c>
      <c r="E464" s="38">
        <v>1200</v>
      </c>
      <c r="F464" s="20" t="s">
        <v>8</v>
      </c>
      <c r="G464" s="43">
        <v>27.6</v>
      </c>
      <c r="H464" s="43">
        <v>30</v>
      </c>
      <c r="I464" s="43">
        <v>35.75</v>
      </c>
      <c r="J464" s="43">
        <v>0</v>
      </c>
      <c r="K464" s="1">
        <f t="shared" ref="K464" si="1356">(IF(F464="SELL",G464-H464,IF(F464="BUY",H464-G464)))*E464</f>
        <v>2879.9999999999982</v>
      </c>
      <c r="L464" s="43">
        <f>E464*5.75</f>
        <v>6900</v>
      </c>
      <c r="M464" s="43">
        <v>0</v>
      </c>
      <c r="N464" s="1">
        <f t="shared" ref="N464" si="1357">(L464+K464+M464)/E464</f>
        <v>8.1499999999999986</v>
      </c>
      <c r="O464" s="1">
        <f t="shared" ref="O464" si="1358">N464*E464</f>
        <v>9779.9999999999982</v>
      </c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F464" s="31"/>
      <c r="AG464" s="31"/>
    </row>
    <row r="465" spans="1:33" s="32" customFormat="1" ht="15" customHeight="1">
      <c r="A465" s="37">
        <v>44145</v>
      </c>
      <c r="B465" s="57" t="s">
        <v>409</v>
      </c>
      <c r="C465" s="20" t="s">
        <v>47</v>
      </c>
      <c r="D465" s="20">
        <v>73</v>
      </c>
      <c r="E465" s="38">
        <v>6800</v>
      </c>
      <c r="F465" s="20" t="s">
        <v>8</v>
      </c>
      <c r="G465" s="43">
        <v>1.5</v>
      </c>
      <c r="H465" s="43">
        <v>2</v>
      </c>
      <c r="I465" s="43">
        <v>0</v>
      </c>
      <c r="J465" s="43">
        <v>0</v>
      </c>
      <c r="K465" s="1">
        <f t="shared" ref="K465" si="1359">(IF(F465="SELL",G465-H465,IF(F465="BUY",H465-G465)))*E465</f>
        <v>3400</v>
      </c>
      <c r="L465" s="43">
        <v>0</v>
      </c>
      <c r="M465" s="43">
        <v>0</v>
      </c>
      <c r="N465" s="1">
        <f t="shared" ref="N465" si="1360">(L465+K465+M465)/E465</f>
        <v>0.5</v>
      </c>
      <c r="O465" s="1">
        <f t="shared" ref="O465" si="1361">N465*E465</f>
        <v>3400</v>
      </c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F465" s="31"/>
      <c r="AG465" s="31"/>
    </row>
    <row r="466" spans="1:33" s="32" customFormat="1" ht="15" customHeight="1">
      <c r="A466" s="37">
        <v>44145</v>
      </c>
      <c r="B466" s="57" t="s">
        <v>162</v>
      </c>
      <c r="C466" s="20" t="s">
        <v>47</v>
      </c>
      <c r="D466" s="20">
        <v>2250</v>
      </c>
      <c r="E466" s="38">
        <v>250</v>
      </c>
      <c r="F466" s="20" t="s">
        <v>8</v>
      </c>
      <c r="G466" s="43">
        <v>74.5</v>
      </c>
      <c r="H466" s="43">
        <v>61</v>
      </c>
      <c r="I466" s="43">
        <v>0</v>
      </c>
      <c r="J466" s="43">
        <v>0</v>
      </c>
      <c r="K466" s="1">
        <f t="shared" ref="K466" si="1362">(IF(F466="SELL",G466-H466,IF(F466="BUY",H466-G466)))*E466</f>
        <v>-3375</v>
      </c>
      <c r="L466" s="43">
        <v>0</v>
      </c>
      <c r="M466" s="43">
        <v>0</v>
      </c>
      <c r="N466" s="1">
        <f t="shared" ref="N466" si="1363">(L466+K466+M466)/E466</f>
        <v>-13.5</v>
      </c>
      <c r="O466" s="1">
        <f t="shared" ref="O466" si="1364">N466*E466</f>
        <v>-3375</v>
      </c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F466" s="31"/>
      <c r="AG466" s="31"/>
    </row>
    <row r="467" spans="1:33" s="32" customFormat="1" ht="15" customHeight="1">
      <c r="A467" s="37">
        <v>44144</v>
      </c>
      <c r="B467" s="57" t="s">
        <v>103</v>
      </c>
      <c r="C467" s="20" t="s">
        <v>47</v>
      </c>
      <c r="D467" s="20">
        <v>82.5</v>
      </c>
      <c r="E467" s="38">
        <v>9000</v>
      </c>
      <c r="F467" s="20" t="s">
        <v>8</v>
      </c>
      <c r="G467" s="43">
        <v>3.95</v>
      </c>
      <c r="H467" s="43">
        <v>4.3</v>
      </c>
      <c r="I467" s="43">
        <v>4.95</v>
      </c>
      <c r="J467" s="43">
        <v>0</v>
      </c>
      <c r="K467" s="1">
        <f t="shared" ref="K467" si="1365">(IF(F467="SELL",G467-H467,IF(F467="BUY",H467-G467)))*E467</f>
        <v>3149.9999999999968</v>
      </c>
      <c r="L467" s="43">
        <f>E467*0.65</f>
        <v>5850</v>
      </c>
      <c r="M467" s="43">
        <v>0</v>
      </c>
      <c r="N467" s="1">
        <f t="shared" ref="N467" si="1366">(L467+K467+M467)/E467</f>
        <v>0.99999999999999956</v>
      </c>
      <c r="O467" s="1">
        <f t="shared" ref="O467" si="1367">N467*E467</f>
        <v>8999.9999999999964</v>
      </c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  <c r="AE467" s="31"/>
      <c r="AF467" s="31"/>
      <c r="AG467" s="31"/>
    </row>
    <row r="468" spans="1:33" s="32" customFormat="1" ht="15" customHeight="1">
      <c r="A468" s="37">
        <v>44144</v>
      </c>
      <c r="B468" s="57" t="s">
        <v>367</v>
      </c>
      <c r="C468" s="20" t="s">
        <v>47</v>
      </c>
      <c r="D468" s="20">
        <v>155</v>
      </c>
      <c r="E468" s="38">
        <v>5000</v>
      </c>
      <c r="F468" s="20" t="s">
        <v>8</v>
      </c>
      <c r="G468" s="43">
        <v>6</v>
      </c>
      <c r="H468" s="43">
        <v>6.7</v>
      </c>
      <c r="I468" s="43">
        <v>7.5</v>
      </c>
      <c r="J468" s="43">
        <v>0</v>
      </c>
      <c r="K468" s="1">
        <f t="shared" ref="K468" si="1368">(IF(F468="SELL",G468-H468,IF(F468="BUY",H468-G468)))*E468</f>
        <v>3500.0000000000009</v>
      </c>
      <c r="L468" s="43">
        <f>E468*0.8</f>
        <v>4000</v>
      </c>
      <c r="M468" s="43">
        <v>0</v>
      </c>
      <c r="N468" s="1">
        <f t="shared" ref="N468" si="1369">(L468+K468+M468)/E468</f>
        <v>1.5000000000000002</v>
      </c>
      <c r="O468" s="1">
        <f t="shared" ref="O468" si="1370">N468*E468</f>
        <v>7500.0000000000009</v>
      </c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F468" s="31"/>
      <c r="AG468" s="31"/>
    </row>
    <row r="469" spans="1:33" s="32" customFormat="1" ht="15" customHeight="1">
      <c r="A469" s="37">
        <v>44144</v>
      </c>
      <c r="B469" s="57" t="s">
        <v>20</v>
      </c>
      <c r="C469" s="20" t="s">
        <v>47</v>
      </c>
      <c r="D469" s="20">
        <v>1150</v>
      </c>
      <c r="E469" s="38">
        <v>600</v>
      </c>
      <c r="F469" s="20" t="s">
        <v>8</v>
      </c>
      <c r="G469" s="43">
        <v>25.5</v>
      </c>
      <c r="H469" s="43">
        <v>23.5</v>
      </c>
      <c r="I469" s="43">
        <v>0</v>
      </c>
      <c r="J469" s="43">
        <v>0</v>
      </c>
      <c r="K469" s="1">
        <f t="shared" ref="K469" si="1371">(IF(F469="SELL",G469-H469,IF(F469="BUY",H469-G469)))*E469</f>
        <v>-1200</v>
      </c>
      <c r="L469" s="43">
        <v>0</v>
      </c>
      <c r="M469" s="43">
        <v>0</v>
      </c>
      <c r="N469" s="1">
        <f t="shared" ref="N469" si="1372">(L469+K469+M469)/E469</f>
        <v>-2</v>
      </c>
      <c r="O469" s="1">
        <f t="shared" ref="O469" si="1373">N469*E469</f>
        <v>-1200</v>
      </c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  <c r="AF469" s="31"/>
      <c r="AG469" s="31"/>
    </row>
    <row r="470" spans="1:33" s="32" customFormat="1" ht="15" customHeight="1">
      <c r="A470" s="37">
        <v>44141</v>
      </c>
      <c r="B470" s="57" t="s">
        <v>162</v>
      </c>
      <c r="C470" s="20" t="s">
        <v>47</v>
      </c>
      <c r="D470" s="20">
        <v>2200</v>
      </c>
      <c r="E470" s="38">
        <v>250</v>
      </c>
      <c r="F470" s="20" t="s">
        <v>8</v>
      </c>
      <c r="G470" s="43">
        <v>99</v>
      </c>
      <c r="H470" s="43">
        <v>109</v>
      </c>
      <c r="I470" s="43">
        <v>118.45</v>
      </c>
      <c r="J470" s="43">
        <v>0</v>
      </c>
      <c r="K470" s="1">
        <f t="shared" ref="K470" si="1374">(IF(F470="SELL",G470-H470,IF(F470="BUY",H470-G470)))*E470</f>
        <v>2500</v>
      </c>
      <c r="L470" s="43">
        <f>E470*9.45</f>
        <v>2362.5</v>
      </c>
      <c r="M470" s="43">
        <v>0</v>
      </c>
      <c r="N470" s="1">
        <f t="shared" ref="N470" si="1375">(L470+K470+M470)/E470</f>
        <v>19.45</v>
      </c>
      <c r="O470" s="1">
        <f t="shared" ref="O470" si="1376">N470*E470</f>
        <v>4862.5</v>
      </c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F470" s="31"/>
      <c r="AG470" s="31"/>
    </row>
    <row r="471" spans="1:33" s="32" customFormat="1" ht="15" customHeight="1">
      <c r="A471" s="37">
        <v>44141</v>
      </c>
      <c r="B471" s="57" t="s">
        <v>446</v>
      </c>
      <c r="C471" s="20" t="s">
        <v>47</v>
      </c>
      <c r="D471" s="20">
        <v>2140</v>
      </c>
      <c r="E471" s="38">
        <v>250</v>
      </c>
      <c r="F471" s="20" t="s">
        <v>8</v>
      </c>
      <c r="G471" s="43">
        <v>35.5</v>
      </c>
      <c r="H471" s="43">
        <v>25</v>
      </c>
      <c r="I471" s="43">
        <v>0</v>
      </c>
      <c r="J471" s="43">
        <v>0</v>
      </c>
      <c r="K471" s="1">
        <f t="shared" ref="K471" si="1377">(IF(F471="SELL",G471-H471,IF(F471="BUY",H471-G471)))*E471</f>
        <v>-2625</v>
      </c>
      <c r="L471" s="43">
        <v>0</v>
      </c>
      <c r="M471" s="43">
        <v>0</v>
      </c>
      <c r="N471" s="1">
        <f t="shared" ref="N471" si="1378">(L471+K471+M471)/E471</f>
        <v>-10.5</v>
      </c>
      <c r="O471" s="1">
        <f t="shared" ref="O471" si="1379">N471*E471</f>
        <v>-2625</v>
      </c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  <c r="AF471" s="31"/>
      <c r="AG471" s="31"/>
    </row>
    <row r="472" spans="1:33" s="32" customFormat="1" ht="15" customHeight="1">
      <c r="A472" s="37">
        <v>44141</v>
      </c>
      <c r="B472" s="57" t="s">
        <v>492</v>
      </c>
      <c r="C472" s="20" t="s">
        <v>47</v>
      </c>
      <c r="D472" s="20">
        <v>590</v>
      </c>
      <c r="E472" s="38">
        <v>1100</v>
      </c>
      <c r="F472" s="20" t="s">
        <v>8</v>
      </c>
      <c r="G472" s="43">
        <v>20.399999999999999</v>
      </c>
      <c r="H472" s="43">
        <v>18</v>
      </c>
      <c r="I472" s="43">
        <v>0</v>
      </c>
      <c r="J472" s="43">
        <v>0</v>
      </c>
      <c r="K472" s="1">
        <f t="shared" ref="K472" si="1380">(IF(F472="SELL",G472-H472,IF(F472="BUY",H472-G472)))*E472</f>
        <v>-2639.9999999999986</v>
      </c>
      <c r="L472" s="43">
        <v>0</v>
      </c>
      <c r="M472" s="43">
        <v>0</v>
      </c>
      <c r="N472" s="1">
        <f t="shared" ref="N472" si="1381">(L472+K472+M472)/E472</f>
        <v>-2.3999999999999986</v>
      </c>
      <c r="O472" s="1">
        <f t="shared" ref="O472" si="1382">N472*E472</f>
        <v>-2639.9999999999986</v>
      </c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F472" s="31"/>
      <c r="AG472" s="31"/>
    </row>
    <row r="473" spans="1:33" s="32" customFormat="1" ht="15" customHeight="1">
      <c r="A473" s="37">
        <v>44140</v>
      </c>
      <c r="B473" s="57" t="s">
        <v>162</v>
      </c>
      <c r="C473" s="20" t="s">
        <v>47</v>
      </c>
      <c r="D473" s="20">
        <v>2200</v>
      </c>
      <c r="E473" s="38">
        <v>250</v>
      </c>
      <c r="F473" s="20" t="s">
        <v>8</v>
      </c>
      <c r="G473" s="43">
        <v>90</v>
      </c>
      <c r="H473" s="43">
        <v>105</v>
      </c>
      <c r="I473" s="43">
        <v>107</v>
      </c>
      <c r="J473" s="43">
        <v>0</v>
      </c>
      <c r="K473" s="1">
        <f t="shared" ref="K473" si="1383">(IF(F473="SELL",G473-H473,IF(F473="BUY",H473-G473)))*E473</f>
        <v>3750</v>
      </c>
      <c r="L473" s="43">
        <f>E473*2</f>
        <v>500</v>
      </c>
      <c r="M473" s="43">
        <v>0</v>
      </c>
      <c r="N473" s="1">
        <f t="shared" ref="N473" si="1384">(L473+K473+M473)/E473</f>
        <v>17</v>
      </c>
      <c r="O473" s="1">
        <f t="shared" ref="O473" si="1385">N473*E473</f>
        <v>4250</v>
      </c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  <c r="AF473" s="31"/>
      <c r="AG473" s="31"/>
    </row>
    <row r="474" spans="1:33" s="32" customFormat="1" ht="15" customHeight="1">
      <c r="A474" s="37">
        <v>44140</v>
      </c>
      <c r="B474" s="57" t="s">
        <v>328</v>
      </c>
      <c r="C474" s="20" t="s">
        <v>47</v>
      </c>
      <c r="D474" s="20">
        <v>310</v>
      </c>
      <c r="E474" s="38">
        <v>2500</v>
      </c>
      <c r="F474" s="20" t="s">
        <v>8</v>
      </c>
      <c r="G474" s="43">
        <v>9</v>
      </c>
      <c r="H474" s="43">
        <v>10</v>
      </c>
      <c r="I474" s="43">
        <v>10.5</v>
      </c>
      <c r="J474" s="43">
        <v>0</v>
      </c>
      <c r="K474" s="1">
        <f t="shared" ref="K474" si="1386">(IF(F474="SELL",G474-H474,IF(F474="BUY",H474-G474)))*E474</f>
        <v>2500</v>
      </c>
      <c r="L474" s="43">
        <f>E474*0.5</f>
        <v>1250</v>
      </c>
      <c r="M474" s="43">
        <v>0</v>
      </c>
      <c r="N474" s="1">
        <f t="shared" ref="N474" si="1387">(L474+K474+M474)/E474</f>
        <v>1.5</v>
      </c>
      <c r="O474" s="1">
        <f t="shared" ref="O474" si="1388">N474*E474</f>
        <v>3750</v>
      </c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F474" s="31"/>
      <c r="AG474" s="31"/>
    </row>
    <row r="475" spans="1:33" s="32" customFormat="1" ht="15" customHeight="1">
      <c r="A475" s="37">
        <v>44140</v>
      </c>
      <c r="B475" s="57" t="s">
        <v>367</v>
      </c>
      <c r="C475" s="20" t="s">
        <v>47</v>
      </c>
      <c r="D475" s="20">
        <v>152.5</v>
      </c>
      <c r="E475" s="38">
        <v>5000</v>
      </c>
      <c r="F475" s="20" t="s">
        <v>8</v>
      </c>
      <c r="G475" s="43">
        <v>4.55</v>
      </c>
      <c r="H475" s="43">
        <v>4.95</v>
      </c>
      <c r="I475" s="43">
        <v>5.3</v>
      </c>
      <c r="J475" s="43">
        <v>0</v>
      </c>
      <c r="K475" s="1">
        <f t="shared" ref="K475" si="1389">(IF(F475="SELL",G475-H475,IF(F475="BUY",H475-G475)))*E475</f>
        <v>2000.0000000000018</v>
      </c>
      <c r="L475" s="43">
        <f>E475*0.35</f>
        <v>1750</v>
      </c>
      <c r="M475" s="43">
        <v>0</v>
      </c>
      <c r="N475" s="1">
        <f t="shared" ref="N475" si="1390">(L475+K475+M475)/E475</f>
        <v>0.75000000000000033</v>
      </c>
      <c r="O475" s="1">
        <f t="shared" ref="O475" si="1391">N475*E475</f>
        <v>3750.0000000000018</v>
      </c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  <c r="AE475" s="31"/>
      <c r="AF475" s="31"/>
      <c r="AG475" s="31"/>
    </row>
    <row r="476" spans="1:33" s="32" customFormat="1" ht="15" customHeight="1">
      <c r="A476" s="37">
        <v>44140</v>
      </c>
      <c r="B476" s="57" t="s">
        <v>27</v>
      </c>
      <c r="C476" s="20" t="s">
        <v>47</v>
      </c>
      <c r="D476" s="20">
        <v>115</v>
      </c>
      <c r="E476" s="38">
        <v>3700</v>
      </c>
      <c r="F476" s="20" t="s">
        <v>8</v>
      </c>
      <c r="G476" s="43">
        <v>5.6</v>
      </c>
      <c r="H476" s="43">
        <v>6</v>
      </c>
      <c r="I476" s="43">
        <v>6.4</v>
      </c>
      <c r="J476" s="43">
        <v>0</v>
      </c>
      <c r="K476" s="1">
        <f t="shared" ref="K476" si="1392">(IF(F476="SELL",G476-H476,IF(F476="BUY",H476-G476)))*E476</f>
        <v>1480.0000000000014</v>
      </c>
      <c r="L476" s="43">
        <f>E476*0.4</f>
        <v>1480</v>
      </c>
      <c r="M476" s="43">
        <v>0</v>
      </c>
      <c r="N476" s="1">
        <f t="shared" ref="N476" si="1393">(L476+K476+M476)/E476</f>
        <v>0.80000000000000038</v>
      </c>
      <c r="O476" s="1">
        <f t="shared" ref="O476" si="1394">N476*E476</f>
        <v>2960.0000000000014</v>
      </c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  <c r="AE476" s="31"/>
      <c r="AF476" s="31"/>
      <c r="AG476" s="31"/>
    </row>
    <row r="477" spans="1:33" s="32" customFormat="1" ht="15" customHeight="1">
      <c r="A477" s="37">
        <v>44139</v>
      </c>
      <c r="B477" s="57" t="s">
        <v>39</v>
      </c>
      <c r="C477" s="20" t="s">
        <v>47</v>
      </c>
      <c r="D477" s="20">
        <v>1900</v>
      </c>
      <c r="E477" s="38">
        <v>505</v>
      </c>
      <c r="F477" s="20" t="s">
        <v>8</v>
      </c>
      <c r="G477" s="43">
        <v>78</v>
      </c>
      <c r="H477" s="43">
        <v>84.7</v>
      </c>
      <c r="I477" s="43">
        <v>100</v>
      </c>
      <c r="J477" s="43">
        <v>0</v>
      </c>
      <c r="K477" s="1">
        <f t="shared" ref="K477" si="1395">(IF(F477="SELL",G477-H477,IF(F477="BUY",H477-G477)))*E477</f>
        <v>3383.5000000000014</v>
      </c>
      <c r="L477" s="43">
        <f>E477*15.3</f>
        <v>7726.5</v>
      </c>
      <c r="M477" s="43">
        <v>0</v>
      </c>
      <c r="N477" s="1">
        <f t="shared" ref="N477" si="1396">(L477+K477+M477)/E477</f>
        <v>22.000000000000004</v>
      </c>
      <c r="O477" s="1">
        <f t="shared" ref="O477" si="1397">N477*E477</f>
        <v>11110.000000000002</v>
      </c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  <c r="AF477" s="31"/>
      <c r="AG477" s="31"/>
    </row>
    <row r="478" spans="1:33" s="32" customFormat="1" ht="15" customHeight="1">
      <c r="A478" s="37">
        <v>44139</v>
      </c>
      <c r="B478" s="57" t="s">
        <v>10</v>
      </c>
      <c r="C478" s="20" t="s">
        <v>47</v>
      </c>
      <c r="D478" s="20">
        <v>820</v>
      </c>
      <c r="E478" s="38">
        <v>1000</v>
      </c>
      <c r="F478" s="20" t="s">
        <v>8</v>
      </c>
      <c r="G478" s="43">
        <v>18.2</v>
      </c>
      <c r="H478" s="43">
        <v>20.5</v>
      </c>
      <c r="I478" s="43">
        <v>25</v>
      </c>
      <c r="J478" s="43">
        <v>0</v>
      </c>
      <c r="K478" s="1">
        <f t="shared" ref="K478" si="1398">(IF(F478="SELL",G478-H478,IF(F478="BUY",H478-G478)))*E478</f>
        <v>2300.0000000000009</v>
      </c>
      <c r="L478" s="43">
        <f>E478*4.5</f>
        <v>4500</v>
      </c>
      <c r="M478" s="43">
        <v>0</v>
      </c>
      <c r="N478" s="1">
        <f t="shared" ref="N478" si="1399">(L478+K478+M478)/E478</f>
        <v>6.8000000000000007</v>
      </c>
      <c r="O478" s="1">
        <f t="shared" ref="O478" si="1400">N478*E478</f>
        <v>6800.0000000000009</v>
      </c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  <c r="AF478" s="31"/>
      <c r="AG478" s="31"/>
    </row>
    <row r="479" spans="1:33" s="32" customFormat="1" ht="15" customHeight="1">
      <c r="A479" s="37">
        <v>44139</v>
      </c>
      <c r="B479" s="57" t="s">
        <v>404</v>
      </c>
      <c r="C479" s="20" t="s">
        <v>47</v>
      </c>
      <c r="D479" s="20">
        <v>100</v>
      </c>
      <c r="E479" s="38">
        <v>6000</v>
      </c>
      <c r="F479" s="20" t="s">
        <v>8</v>
      </c>
      <c r="G479" s="43">
        <v>6.1</v>
      </c>
      <c r="H479" s="43">
        <v>6.1</v>
      </c>
      <c r="I479" s="43">
        <v>0</v>
      </c>
      <c r="J479" s="43">
        <v>0</v>
      </c>
      <c r="K479" s="1">
        <f t="shared" ref="K479" si="1401">(IF(F479="SELL",G479-H479,IF(F479="BUY",H479-G479)))*E479</f>
        <v>0</v>
      </c>
      <c r="L479" s="43">
        <v>0</v>
      </c>
      <c r="M479" s="43">
        <v>0</v>
      </c>
      <c r="N479" s="1">
        <f t="shared" ref="N479" si="1402">(L479+K479+M479)/E479</f>
        <v>0</v>
      </c>
      <c r="O479" s="1">
        <f t="shared" ref="O479" si="1403">N479*E479</f>
        <v>0</v>
      </c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  <c r="AE479" s="31"/>
      <c r="AF479" s="31"/>
      <c r="AG479" s="31"/>
    </row>
    <row r="480" spans="1:33" s="32" customFormat="1" ht="15" customHeight="1">
      <c r="A480" s="37">
        <v>44138</v>
      </c>
      <c r="B480" s="57" t="s">
        <v>368</v>
      </c>
      <c r="C480" s="20" t="s">
        <v>46</v>
      </c>
      <c r="D480" s="20">
        <v>175</v>
      </c>
      <c r="E480" s="38">
        <v>3000</v>
      </c>
      <c r="F480" s="20" t="s">
        <v>8</v>
      </c>
      <c r="G480" s="43">
        <v>8.1</v>
      </c>
      <c r="H480" s="43">
        <v>8.6999999999999993</v>
      </c>
      <c r="I480" s="43">
        <v>0</v>
      </c>
      <c r="J480" s="43">
        <v>0</v>
      </c>
      <c r="K480" s="1">
        <f t="shared" ref="K480" si="1404">(IF(F480="SELL",G480-H480,IF(F480="BUY",H480-G480)))*E480</f>
        <v>1799.9999999999989</v>
      </c>
      <c r="L480" s="43">
        <v>0</v>
      </c>
      <c r="M480" s="43">
        <v>0</v>
      </c>
      <c r="N480" s="1">
        <f t="shared" ref="N480" si="1405">(L480+K480+M480)/E480</f>
        <v>0.59999999999999964</v>
      </c>
      <c r="O480" s="1">
        <f t="shared" ref="O480" si="1406">N480*E480</f>
        <v>1799.9999999999989</v>
      </c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  <c r="AF480" s="31"/>
      <c r="AG480" s="31"/>
    </row>
    <row r="481" spans="1:33" s="32" customFormat="1" ht="15" customHeight="1">
      <c r="A481" s="37">
        <v>44138</v>
      </c>
      <c r="B481" s="57" t="s">
        <v>332</v>
      </c>
      <c r="C481" s="20" t="s">
        <v>46</v>
      </c>
      <c r="D481" s="20">
        <v>790</v>
      </c>
      <c r="E481" s="38">
        <v>1200</v>
      </c>
      <c r="F481" s="20" t="s">
        <v>8</v>
      </c>
      <c r="G481" s="43">
        <v>20</v>
      </c>
      <c r="H481" s="43">
        <v>20.95</v>
      </c>
      <c r="I481" s="43">
        <v>0</v>
      </c>
      <c r="J481" s="43">
        <v>0</v>
      </c>
      <c r="K481" s="1">
        <f t="shared" ref="K481" si="1407">(IF(F481="SELL",G481-H481,IF(F481="BUY",H481-G481)))*E481</f>
        <v>1139.9999999999991</v>
      </c>
      <c r="L481" s="43">
        <v>0</v>
      </c>
      <c r="M481" s="43">
        <v>0</v>
      </c>
      <c r="N481" s="1">
        <f t="shared" ref="N481" si="1408">(L481+K481+M481)/E481</f>
        <v>0.94999999999999929</v>
      </c>
      <c r="O481" s="1">
        <f t="shared" ref="O481" si="1409">N481*E481</f>
        <v>1139.9999999999991</v>
      </c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  <c r="AE481" s="31"/>
      <c r="AF481" s="31"/>
      <c r="AG481" s="31"/>
    </row>
    <row r="482" spans="1:33" s="32" customFormat="1" ht="15" customHeight="1">
      <c r="A482" s="37">
        <v>44138</v>
      </c>
      <c r="B482" s="57" t="s">
        <v>175</v>
      </c>
      <c r="C482" s="20" t="s">
        <v>46</v>
      </c>
      <c r="D482" s="20">
        <v>3400</v>
      </c>
      <c r="E482" s="38">
        <v>200</v>
      </c>
      <c r="F482" s="20" t="s">
        <v>8</v>
      </c>
      <c r="G482" s="43">
        <v>142</v>
      </c>
      <c r="H482" s="43">
        <v>128</v>
      </c>
      <c r="I482" s="43">
        <v>0</v>
      </c>
      <c r="J482" s="43">
        <v>0</v>
      </c>
      <c r="K482" s="1">
        <f t="shared" ref="K482" si="1410">(IF(F482="SELL",G482-H482,IF(F482="BUY",H482-G482)))*E482</f>
        <v>-2800</v>
      </c>
      <c r="L482" s="43">
        <v>0</v>
      </c>
      <c r="M482" s="43">
        <v>0</v>
      </c>
      <c r="N482" s="1">
        <f t="shared" ref="N482" si="1411">(L482+K482+M482)/E482</f>
        <v>-14</v>
      </c>
      <c r="O482" s="1">
        <f t="shared" ref="O482" si="1412">N482*E482</f>
        <v>-2800</v>
      </c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  <c r="AE482" s="31"/>
      <c r="AF482" s="31"/>
      <c r="AG482" s="31"/>
    </row>
    <row r="483" spans="1:33" s="32" customFormat="1" ht="15" customHeight="1">
      <c r="A483" s="37">
        <v>44138</v>
      </c>
      <c r="B483" s="57" t="s">
        <v>116</v>
      </c>
      <c r="C483" s="20" t="s">
        <v>47</v>
      </c>
      <c r="D483" s="20">
        <v>350</v>
      </c>
      <c r="E483" s="38">
        <v>2000</v>
      </c>
      <c r="F483" s="20" t="s">
        <v>8</v>
      </c>
      <c r="G483" s="43">
        <v>19.5</v>
      </c>
      <c r="H483" s="43">
        <v>18.399999999999999</v>
      </c>
      <c r="I483" s="43">
        <v>0</v>
      </c>
      <c r="J483" s="43">
        <v>0</v>
      </c>
      <c r="K483" s="1">
        <f t="shared" ref="K483" si="1413">(IF(F483="SELL",G483-H483,IF(F483="BUY",H483-G483)))*E483</f>
        <v>-2200.0000000000027</v>
      </c>
      <c r="L483" s="43">
        <v>0</v>
      </c>
      <c r="M483" s="43">
        <v>0</v>
      </c>
      <c r="N483" s="1">
        <f t="shared" ref="N483" si="1414">(L483+K483+M483)/E483</f>
        <v>-1.1000000000000014</v>
      </c>
      <c r="O483" s="1">
        <f t="shared" ref="O483" si="1415">N483*E483</f>
        <v>-2200.0000000000027</v>
      </c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  <c r="AE483" s="31"/>
      <c r="AF483" s="31"/>
      <c r="AG483" s="31"/>
    </row>
    <row r="484" spans="1:33" s="32" customFormat="1" ht="15" customHeight="1">
      <c r="A484" s="37">
        <v>44137</v>
      </c>
      <c r="B484" s="57" t="s">
        <v>16</v>
      </c>
      <c r="C484" s="20" t="s">
        <v>46</v>
      </c>
      <c r="D484" s="20">
        <v>345</v>
      </c>
      <c r="E484" s="38">
        <v>2500</v>
      </c>
      <c r="F484" s="20" t="s">
        <v>8</v>
      </c>
      <c r="G484" s="43">
        <v>11</v>
      </c>
      <c r="H484" s="43">
        <v>12</v>
      </c>
      <c r="I484" s="43">
        <v>0</v>
      </c>
      <c r="J484" s="43">
        <v>0</v>
      </c>
      <c r="K484" s="1">
        <f t="shared" ref="K484" si="1416">(IF(F484="SELL",G484-H484,IF(F484="BUY",H484-G484)))*E484</f>
        <v>2500</v>
      </c>
      <c r="L484" s="43">
        <v>0</v>
      </c>
      <c r="M484" s="43">
        <v>0</v>
      </c>
      <c r="N484" s="1">
        <f t="shared" ref="N484" si="1417">(L484+K484+M484)/E484</f>
        <v>1</v>
      </c>
      <c r="O484" s="1">
        <f t="shared" ref="O484" si="1418">N484*E484</f>
        <v>2500</v>
      </c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  <c r="AF484" s="31"/>
      <c r="AG484" s="31"/>
    </row>
    <row r="485" spans="1:33" s="32" customFormat="1" ht="15" customHeight="1">
      <c r="A485" s="37">
        <v>44137</v>
      </c>
      <c r="B485" s="57" t="s">
        <v>24</v>
      </c>
      <c r="C485" s="20" t="s">
        <v>46</v>
      </c>
      <c r="D485" s="20">
        <v>127.5</v>
      </c>
      <c r="E485" s="38">
        <v>5700</v>
      </c>
      <c r="F485" s="20" t="s">
        <v>8</v>
      </c>
      <c r="G485" s="43">
        <v>6.5</v>
      </c>
      <c r="H485" s="43">
        <v>5.8</v>
      </c>
      <c r="I485" s="43">
        <v>0</v>
      </c>
      <c r="J485" s="43">
        <v>0</v>
      </c>
      <c r="K485" s="1">
        <f t="shared" ref="K485" si="1419">(IF(F485="SELL",G485-H485,IF(F485="BUY",H485-G485)))*E485</f>
        <v>-3990.0000000000009</v>
      </c>
      <c r="L485" s="43">
        <v>0</v>
      </c>
      <c r="M485" s="43">
        <v>0</v>
      </c>
      <c r="N485" s="1">
        <f t="shared" ref="N485" si="1420">(L485+K485+M485)/E485</f>
        <v>-0.70000000000000018</v>
      </c>
      <c r="O485" s="1">
        <f t="shared" ref="O485" si="1421">N485*E485</f>
        <v>-3990.0000000000009</v>
      </c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F485" s="31"/>
      <c r="AG485" s="31"/>
    </row>
    <row r="486" spans="1:33" s="32" customFormat="1" ht="15" customHeight="1">
      <c r="A486" s="37">
        <v>44137</v>
      </c>
      <c r="B486" s="57" t="s">
        <v>72</v>
      </c>
      <c r="C486" s="20" t="s">
        <v>46</v>
      </c>
      <c r="D486" s="20">
        <v>340</v>
      </c>
      <c r="E486" s="38">
        <v>1800</v>
      </c>
      <c r="F486" s="20" t="s">
        <v>8</v>
      </c>
      <c r="G486" s="43">
        <v>13</v>
      </c>
      <c r="H486" s="43">
        <v>13.05</v>
      </c>
      <c r="I486" s="43">
        <v>0</v>
      </c>
      <c r="J486" s="43">
        <v>0</v>
      </c>
      <c r="K486" s="1">
        <f t="shared" ref="K486" si="1422">(IF(F486="SELL",G486-H486,IF(F486="BUY",H486-G486)))*E486</f>
        <v>90.000000000001279</v>
      </c>
      <c r="L486" s="43">
        <v>0</v>
      </c>
      <c r="M486" s="43">
        <v>0</v>
      </c>
      <c r="N486" s="1">
        <f t="shared" ref="N486" si="1423">(L486+K486+M486)/E486</f>
        <v>5.0000000000000711E-2</v>
      </c>
      <c r="O486" s="1">
        <f t="shared" ref="O486" si="1424">N486*E486</f>
        <v>90.000000000001279</v>
      </c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  <c r="AF486" s="31"/>
      <c r="AG486" s="31"/>
    </row>
    <row r="487" spans="1:33" s="32" customFormat="1" ht="15" customHeight="1">
      <c r="A487" s="37">
        <v>44134</v>
      </c>
      <c r="B487" s="57" t="s">
        <v>428</v>
      </c>
      <c r="C487" s="20" t="s">
        <v>46</v>
      </c>
      <c r="D487" s="20">
        <v>580</v>
      </c>
      <c r="E487" s="38">
        <v>800</v>
      </c>
      <c r="F487" s="20" t="s">
        <v>8</v>
      </c>
      <c r="G487" s="43">
        <v>39</v>
      </c>
      <c r="H487" s="43">
        <v>42.5</v>
      </c>
      <c r="I487" s="43">
        <v>0</v>
      </c>
      <c r="J487" s="43">
        <v>0</v>
      </c>
      <c r="K487" s="1">
        <f t="shared" ref="K487" si="1425">(IF(F487="SELL",G487-H487,IF(F487="BUY",H487-G487)))*E487</f>
        <v>2800</v>
      </c>
      <c r="L487" s="43">
        <v>0</v>
      </c>
      <c r="M487" s="43">
        <v>0</v>
      </c>
      <c r="N487" s="1">
        <f t="shared" ref="N487" si="1426">(L487+K487+M487)/E487</f>
        <v>3.5</v>
      </c>
      <c r="O487" s="1">
        <f t="shared" ref="O487" si="1427">N487*E487</f>
        <v>2800</v>
      </c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  <c r="AE487" s="31"/>
      <c r="AF487" s="31"/>
      <c r="AG487" s="31"/>
    </row>
    <row r="488" spans="1:33" s="32" customFormat="1" ht="15" customHeight="1">
      <c r="A488" s="37">
        <v>44134</v>
      </c>
      <c r="B488" s="57" t="s">
        <v>104</v>
      </c>
      <c r="C488" s="20" t="s">
        <v>46</v>
      </c>
      <c r="D488" s="20">
        <v>900</v>
      </c>
      <c r="E488" s="38">
        <v>900</v>
      </c>
      <c r="F488" s="20" t="s">
        <v>8</v>
      </c>
      <c r="G488" s="43">
        <v>36.200000000000003</v>
      </c>
      <c r="H488" s="43">
        <v>38.65</v>
      </c>
      <c r="I488" s="43">
        <v>0</v>
      </c>
      <c r="J488" s="43">
        <v>0</v>
      </c>
      <c r="K488" s="1">
        <f t="shared" ref="K488" si="1428">(IF(F488="SELL",G488-H488,IF(F488="BUY",H488-G488)))*E488</f>
        <v>2204.9999999999964</v>
      </c>
      <c r="L488" s="43">
        <v>0</v>
      </c>
      <c r="M488" s="43">
        <v>0</v>
      </c>
      <c r="N488" s="1">
        <f t="shared" ref="N488" si="1429">(L488+K488+M488)/E488</f>
        <v>2.4499999999999957</v>
      </c>
      <c r="O488" s="1">
        <f t="shared" ref="O488" si="1430">N488*E488</f>
        <v>2204.9999999999964</v>
      </c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F488" s="31"/>
      <c r="AG488" s="31"/>
    </row>
    <row r="489" spans="1:33" s="32" customFormat="1" ht="15" customHeight="1">
      <c r="A489" s="37">
        <v>44133</v>
      </c>
      <c r="B489" s="57" t="s">
        <v>363</v>
      </c>
      <c r="C489" s="20" t="s">
        <v>47</v>
      </c>
      <c r="D489" s="20">
        <v>1240</v>
      </c>
      <c r="E489" s="38">
        <v>750</v>
      </c>
      <c r="F489" s="20" t="s">
        <v>8</v>
      </c>
      <c r="G489" s="43">
        <v>60</v>
      </c>
      <c r="H489" s="43">
        <v>64</v>
      </c>
      <c r="I489" s="43">
        <v>67.2</v>
      </c>
      <c r="J489" s="43">
        <v>0</v>
      </c>
      <c r="K489" s="1">
        <f t="shared" ref="K489" si="1431">(IF(F489="SELL",G489-H489,IF(F489="BUY",H489-G489)))*E489</f>
        <v>3000</v>
      </c>
      <c r="L489" s="43">
        <f>E489*3.2</f>
        <v>2400</v>
      </c>
      <c r="M489" s="43">
        <v>0</v>
      </c>
      <c r="N489" s="1">
        <f t="shared" ref="N489" si="1432">(L489+K489+M489)/E489</f>
        <v>7.2</v>
      </c>
      <c r="O489" s="1">
        <f t="shared" ref="O489" si="1433">N489*E489</f>
        <v>5400</v>
      </c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  <c r="AE489" s="31"/>
      <c r="AF489" s="31"/>
      <c r="AG489" s="31"/>
    </row>
    <row r="490" spans="1:33" s="32" customFormat="1" ht="15" customHeight="1">
      <c r="A490" s="37">
        <v>44133</v>
      </c>
      <c r="B490" s="57" t="s">
        <v>311</v>
      </c>
      <c r="C490" s="20" t="s">
        <v>47</v>
      </c>
      <c r="D490" s="20">
        <v>1660</v>
      </c>
      <c r="E490" s="38">
        <v>550</v>
      </c>
      <c r="F490" s="20" t="s">
        <v>8</v>
      </c>
      <c r="G490" s="43">
        <v>49</v>
      </c>
      <c r="H490" s="43">
        <v>54</v>
      </c>
      <c r="I490" s="43">
        <v>0</v>
      </c>
      <c r="J490" s="43">
        <v>0</v>
      </c>
      <c r="K490" s="1">
        <f t="shared" ref="K490" si="1434">(IF(F490="SELL",G490-H490,IF(F490="BUY",H490-G490)))*E490</f>
        <v>2750</v>
      </c>
      <c r="L490" s="43">
        <v>0</v>
      </c>
      <c r="M490" s="43">
        <v>0</v>
      </c>
      <c r="N490" s="1">
        <f t="shared" ref="N490" si="1435">(L490+K490+M490)/E490</f>
        <v>5</v>
      </c>
      <c r="O490" s="1">
        <f t="shared" ref="O490" si="1436">N490*E490</f>
        <v>2750</v>
      </c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  <c r="AE490" s="31"/>
      <c r="AF490" s="31"/>
      <c r="AG490" s="31"/>
    </row>
    <row r="491" spans="1:33" s="32" customFormat="1" ht="15" customHeight="1">
      <c r="A491" s="37">
        <v>44133</v>
      </c>
      <c r="B491" s="57" t="s">
        <v>413</v>
      </c>
      <c r="C491" s="20" t="s">
        <v>46</v>
      </c>
      <c r="D491" s="20">
        <v>140</v>
      </c>
      <c r="E491" s="38">
        <v>3100</v>
      </c>
      <c r="F491" s="20" t="s">
        <v>8</v>
      </c>
      <c r="G491" s="43">
        <v>2</v>
      </c>
      <c r="H491" s="43">
        <v>0.9</v>
      </c>
      <c r="I491" s="43">
        <v>0</v>
      </c>
      <c r="J491" s="43">
        <v>0</v>
      </c>
      <c r="K491" s="1">
        <f t="shared" ref="K491" si="1437">(IF(F491="SELL",G491-H491,IF(F491="BUY",H491-G491)))*E491</f>
        <v>-3410.0000000000005</v>
      </c>
      <c r="L491" s="43">
        <v>0</v>
      </c>
      <c r="M491" s="43">
        <v>0</v>
      </c>
      <c r="N491" s="1">
        <f t="shared" ref="N491" si="1438">(L491+K491+M491)/E491</f>
        <v>-1.1000000000000001</v>
      </c>
      <c r="O491" s="1">
        <f t="shared" ref="O491" si="1439">N491*E491</f>
        <v>-3410.0000000000005</v>
      </c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  <c r="AE491" s="31"/>
      <c r="AF491" s="31"/>
      <c r="AG491" s="31"/>
    </row>
    <row r="492" spans="1:33" s="32" customFormat="1" ht="15" customHeight="1">
      <c r="A492" s="37">
        <v>44132</v>
      </c>
      <c r="B492" s="57" t="s">
        <v>16</v>
      </c>
      <c r="C492" s="20" t="s">
        <v>47</v>
      </c>
      <c r="D492" s="20">
        <v>365</v>
      </c>
      <c r="E492" s="38">
        <v>2500</v>
      </c>
      <c r="F492" s="20" t="s">
        <v>8</v>
      </c>
      <c r="G492" s="43">
        <v>5.4</v>
      </c>
      <c r="H492" s="43">
        <v>6.4</v>
      </c>
      <c r="I492" s="43">
        <v>0</v>
      </c>
      <c r="J492" s="43">
        <v>0</v>
      </c>
      <c r="K492" s="1">
        <f t="shared" ref="K492" si="1440">(IF(F492="SELL",G492-H492,IF(F492="BUY",H492-G492)))*E492</f>
        <v>2500</v>
      </c>
      <c r="L492" s="43">
        <v>0</v>
      </c>
      <c r="M492" s="43">
        <v>0</v>
      </c>
      <c r="N492" s="1">
        <f t="shared" ref="N492" si="1441">(L492+K492+M492)/E492</f>
        <v>1</v>
      </c>
      <c r="O492" s="1">
        <f t="shared" ref="O492" si="1442">N492*E492</f>
        <v>2500</v>
      </c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  <c r="AE492" s="31"/>
      <c r="AF492" s="31"/>
      <c r="AG492" s="31"/>
    </row>
    <row r="493" spans="1:33" s="32" customFormat="1" ht="15" customHeight="1">
      <c r="A493" s="37">
        <v>44132</v>
      </c>
      <c r="B493" s="57" t="s">
        <v>466</v>
      </c>
      <c r="C493" s="20" t="s">
        <v>46</v>
      </c>
      <c r="D493" s="20">
        <v>400</v>
      </c>
      <c r="E493" s="38">
        <v>1375</v>
      </c>
      <c r="F493" s="20" t="s">
        <v>8</v>
      </c>
      <c r="G493" s="43">
        <v>4</v>
      </c>
      <c r="H493" s="43">
        <v>6</v>
      </c>
      <c r="I493" s="43">
        <v>7.85</v>
      </c>
      <c r="J493" s="43">
        <v>0</v>
      </c>
      <c r="K493" s="1">
        <f t="shared" ref="K493" si="1443">(IF(F493="SELL",G493-H493,IF(F493="BUY",H493-G493)))*E493</f>
        <v>2750</v>
      </c>
      <c r="L493" s="43">
        <f>E493*1.85</f>
        <v>2543.75</v>
      </c>
      <c r="M493" s="43">
        <v>0</v>
      </c>
      <c r="N493" s="1">
        <f t="shared" ref="N493" si="1444">(L493+K493+M493)/E493</f>
        <v>3.85</v>
      </c>
      <c r="O493" s="1">
        <f t="shared" ref="O493" si="1445">N493*E493</f>
        <v>5293.75</v>
      </c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  <c r="AE493" s="31"/>
      <c r="AF493" s="31"/>
      <c r="AG493" s="31"/>
    </row>
    <row r="494" spans="1:33" s="32" customFormat="1" ht="15" customHeight="1">
      <c r="A494" s="37">
        <v>44132</v>
      </c>
      <c r="B494" s="57" t="s">
        <v>502</v>
      </c>
      <c r="C494" s="20" t="s">
        <v>47</v>
      </c>
      <c r="D494" s="20">
        <v>1560</v>
      </c>
      <c r="E494" s="38">
        <v>700</v>
      </c>
      <c r="F494" s="20" t="s">
        <v>8</v>
      </c>
      <c r="G494" s="43">
        <v>6</v>
      </c>
      <c r="H494" s="43">
        <v>1.85</v>
      </c>
      <c r="I494" s="43">
        <v>0</v>
      </c>
      <c r="J494" s="43">
        <v>0</v>
      </c>
      <c r="K494" s="1">
        <f t="shared" ref="K494" si="1446">(IF(F494="SELL",G494-H494,IF(F494="BUY",H494-G494)))*E494</f>
        <v>-2905.0000000000005</v>
      </c>
      <c r="L494" s="43">
        <v>0</v>
      </c>
      <c r="M494" s="43">
        <v>0</v>
      </c>
      <c r="N494" s="1">
        <f t="shared" ref="N494" si="1447">(L494+K494+M494)/E494</f>
        <v>-4.1500000000000004</v>
      </c>
      <c r="O494" s="1">
        <f t="shared" ref="O494" si="1448">N494*E494</f>
        <v>-2905.0000000000005</v>
      </c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  <c r="AE494" s="31"/>
      <c r="AF494" s="31"/>
      <c r="AG494" s="31"/>
    </row>
    <row r="495" spans="1:33" s="32" customFormat="1" ht="15" customHeight="1">
      <c r="A495" s="37">
        <v>44131</v>
      </c>
      <c r="B495" s="57" t="s">
        <v>16</v>
      </c>
      <c r="C495" s="20" t="s">
        <v>46</v>
      </c>
      <c r="D495" s="20">
        <v>350</v>
      </c>
      <c r="E495" s="38">
        <v>2500</v>
      </c>
      <c r="F495" s="20" t="s">
        <v>8</v>
      </c>
      <c r="G495" s="43">
        <v>3.2</v>
      </c>
      <c r="H495" s="43">
        <v>4.2</v>
      </c>
      <c r="I495" s="43">
        <v>0</v>
      </c>
      <c r="J495" s="43">
        <v>0</v>
      </c>
      <c r="K495" s="1">
        <f t="shared" ref="K495" si="1449">(IF(F495="SELL",G495-H495,IF(F495="BUY",H495-G495)))*E495</f>
        <v>2500</v>
      </c>
      <c r="L495" s="43">
        <v>0</v>
      </c>
      <c r="M495" s="43">
        <v>0</v>
      </c>
      <c r="N495" s="1">
        <f t="shared" ref="N495" si="1450">(L495+K495+M495)/E495</f>
        <v>1</v>
      </c>
      <c r="O495" s="1">
        <f t="shared" ref="O495" si="1451">N495*E495</f>
        <v>2500</v>
      </c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  <c r="AD495" s="31"/>
      <c r="AE495" s="31"/>
      <c r="AF495" s="31"/>
      <c r="AG495" s="31"/>
    </row>
    <row r="496" spans="1:33" s="32" customFormat="1" ht="15" customHeight="1">
      <c r="A496" s="37">
        <v>44131</v>
      </c>
      <c r="B496" s="57" t="s">
        <v>270</v>
      </c>
      <c r="C496" s="20" t="s">
        <v>46</v>
      </c>
      <c r="D496" s="20">
        <v>185</v>
      </c>
      <c r="E496" s="38">
        <v>5000</v>
      </c>
      <c r="F496" s="20" t="s">
        <v>8</v>
      </c>
      <c r="G496" s="43">
        <v>1.5</v>
      </c>
      <c r="H496" s="43">
        <v>2</v>
      </c>
      <c r="I496" s="43">
        <v>0</v>
      </c>
      <c r="J496" s="43">
        <v>0</v>
      </c>
      <c r="K496" s="1">
        <f t="shared" ref="K496" si="1452">(IF(F496="SELL",G496-H496,IF(F496="BUY",H496-G496)))*E496</f>
        <v>2500</v>
      </c>
      <c r="L496" s="43">
        <v>0</v>
      </c>
      <c r="M496" s="43">
        <v>0</v>
      </c>
      <c r="N496" s="1">
        <f t="shared" ref="N496" si="1453">(L496+K496+M496)/E496</f>
        <v>0.5</v>
      </c>
      <c r="O496" s="1">
        <f t="shared" ref="O496" si="1454">N496*E496</f>
        <v>2500</v>
      </c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  <c r="AD496" s="31"/>
      <c r="AE496" s="31"/>
      <c r="AF496" s="31"/>
      <c r="AG496" s="31"/>
    </row>
    <row r="497" spans="1:33" s="32" customFormat="1" ht="15" customHeight="1">
      <c r="A497" s="37">
        <v>44130</v>
      </c>
      <c r="B497" s="57" t="s">
        <v>37</v>
      </c>
      <c r="C497" s="20" t="s">
        <v>46</v>
      </c>
      <c r="D497" s="20">
        <v>2700</v>
      </c>
      <c r="E497" s="38">
        <v>300</v>
      </c>
      <c r="F497" s="20" t="s">
        <v>8</v>
      </c>
      <c r="G497" s="43">
        <v>31</v>
      </c>
      <c r="H497" s="43">
        <v>20</v>
      </c>
      <c r="I497" s="43">
        <v>0</v>
      </c>
      <c r="J497" s="43">
        <v>0</v>
      </c>
      <c r="K497" s="1">
        <f t="shared" ref="K497" si="1455">(IF(F497="SELL",G497-H497,IF(F497="BUY",H497-G497)))*E497</f>
        <v>-3300</v>
      </c>
      <c r="L497" s="43">
        <v>0</v>
      </c>
      <c r="M497" s="43">
        <v>0</v>
      </c>
      <c r="N497" s="1">
        <f t="shared" ref="N497" si="1456">(L497+K497+M497)/E497</f>
        <v>-11</v>
      </c>
      <c r="O497" s="1">
        <f t="shared" ref="O497" si="1457">N497*E497</f>
        <v>-3300</v>
      </c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1"/>
      <c r="AD497" s="31"/>
      <c r="AE497" s="31"/>
      <c r="AF497" s="31"/>
      <c r="AG497" s="31"/>
    </row>
    <row r="498" spans="1:33" s="32" customFormat="1" ht="15" customHeight="1">
      <c r="A498" s="37">
        <v>44130</v>
      </c>
      <c r="B498" s="57" t="s">
        <v>28</v>
      </c>
      <c r="C498" s="20" t="s">
        <v>46</v>
      </c>
      <c r="D498" s="20">
        <v>420</v>
      </c>
      <c r="E498" s="38">
        <v>1800</v>
      </c>
      <c r="F498" s="20" t="s">
        <v>8</v>
      </c>
      <c r="G498" s="43">
        <v>3.7</v>
      </c>
      <c r="H498" s="43">
        <v>3.7</v>
      </c>
      <c r="I498" s="43">
        <v>0</v>
      </c>
      <c r="J498" s="43">
        <v>0</v>
      </c>
      <c r="K498" s="1">
        <f t="shared" ref="K498" si="1458">(IF(F498="SELL",G498-H498,IF(F498="BUY",H498-G498)))*E498</f>
        <v>0</v>
      </c>
      <c r="L498" s="43">
        <v>0</v>
      </c>
      <c r="M498" s="43">
        <v>0</v>
      </c>
      <c r="N498" s="1">
        <f t="shared" ref="N498" si="1459">(L498+K498+M498)/E498</f>
        <v>0</v>
      </c>
      <c r="O498" s="1">
        <f t="shared" ref="O498" si="1460">N498*E498</f>
        <v>0</v>
      </c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  <c r="AE498" s="31"/>
      <c r="AF498" s="31"/>
      <c r="AG498" s="31"/>
    </row>
    <row r="499" spans="1:33" s="32" customFormat="1" ht="15" customHeight="1">
      <c r="A499" s="37">
        <v>44127</v>
      </c>
      <c r="B499" s="57" t="s">
        <v>404</v>
      </c>
      <c r="C499" s="20" t="s">
        <v>47</v>
      </c>
      <c r="D499" s="20">
        <v>100</v>
      </c>
      <c r="E499" s="38">
        <v>6000</v>
      </c>
      <c r="F499" s="20" t="s">
        <v>8</v>
      </c>
      <c r="G499" s="43">
        <v>2.5</v>
      </c>
      <c r="H499" s="43">
        <v>2.5</v>
      </c>
      <c r="I499" s="43">
        <v>0</v>
      </c>
      <c r="J499" s="43">
        <v>0</v>
      </c>
      <c r="K499" s="1">
        <f t="shared" ref="K499" si="1461">(IF(F499="SELL",G499-H499,IF(F499="BUY",H499-G499)))*E499</f>
        <v>0</v>
      </c>
      <c r="L499" s="43">
        <v>0</v>
      </c>
      <c r="M499" s="43">
        <v>0</v>
      </c>
      <c r="N499" s="1">
        <f t="shared" ref="N499" si="1462">(L499+K499+M499)/E499</f>
        <v>0</v>
      </c>
      <c r="O499" s="1">
        <f t="shared" ref="O499" si="1463">N499*E499</f>
        <v>0</v>
      </c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  <c r="AD499" s="31"/>
      <c r="AE499" s="31"/>
      <c r="AF499" s="31"/>
      <c r="AG499" s="31"/>
    </row>
    <row r="500" spans="1:33" s="32" customFormat="1" ht="15" customHeight="1">
      <c r="A500" s="37">
        <v>44127</v>
      </c>
      <c r="B500" s="57" t="s">
        <v>131</v>
      </c>
      <c r="C500" s="20" t="s">
        <v>47</v>
      </c>
      <c r="D500" s="20">
        <v>260</v>
      </c>
      <c r="E500" s="38">
        <v>3000</v>
      </c>
      <c r="F500" s="20" t="s">
        <v>8</v>
      </c>
      <c r="G500" s="43">
        <v>1.75</v>
      </c>
      <c r="H500" s="43">
        <v>1.6</v>
      </c>
      <c r="I500" s="43">
        <v>0</v>
      </c>
      <c r="J500" s="43">
        <v>0</v>
      </c>
      <c r="K500" s="1">
        <f t="shared" ref="K500" si="1464">(IF(F500="SELL",G500-H500,IF(F500="BUY",H500-G500)))*E500</f>
        <v>-449.99999999999972</v>
      </c>
      <c r="L500" s="43">
        <v>0</v>
      </c>
      <c r="M500" s="43">
        <v>0</v>
      </c>
      <c r="N500" s="1">
        <f t="shared" ref="N500" si="1465">(L500+K500+M500)/E500</f>
        <v>-0.14999999999999991</v>
      </c>
      <c r="O500" s="1">
        <f t="shared" ref="O500" si="1466">N500*E500</f>
        <v>-449.99999999999972</v>
      </c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  <c r="AE500" s="31"/>
      <c r="AF500" s="31"/>
      <c r="AG500" s="31"/>
    </row>
    <row r="501" spans="1:33" s="32" customFormat="1" ht="15" customHeight="1">
      <c r="A501" s="37">
        <v>44126</v>
      </c>
      <c r="B501" s="57" t="s">
        <v>415</v>
      </c>
      <c r="C501" s="20" t="s">
        <v>46</v>
      </c>
      <c r="D501" s="20">
        <v>3000</v>
      </c>
      <c r="E501" s="38">
        <v>300</v>
      </c>
      <c r="F501" s="20" t="s">
        <v>8</v>
      </c>
      <c r="G501" s="43">
        <v>30.5</v>
      </c>
      <c r="H501" s="43">
        <v>37</v>
      </c>
      <c r="I501" s="43">
        <v>40</v>
      </c>
      <c r="J501" s="43">
        <v>0</v>
      </c>
      <c r="K501" s="1">
        <f t="shared" ref="K501" si="1467">(IF(F501="SELL",G501-H501,IF(F501="BUY",H501-G501)))*E501</f>
        <v>1950</v>
      </c>
      <c r="L501" s="43">
        <f>E501*3</f>
        <v>900</v>
      </c>
      <c r="M501" s="43">
        <v>0</v>
      </c>
      <c r="N501" s="1">
        <f t="shared" ref="N501" si="1468">(L501+K501+M501)/E501</f>
        <v>9.5</v>
      </c>
      <c r="O501" s="1">
        <f t="shared" ref="O501" si="1469">N501*E501</f>
        <v>2850</v>
      </c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  <c r="AD501" s="31"/>
      <c r="AE501" s="31"/>
      <c r="AF501" s="31"/>
      <c r="AG501" s="31"/>
    </row>
    <row r="502" spans="1:33" s="32" customFormat="1" ht="15" customHeight="1">
      <c r="A502" s="37">
        <v>44126</v>
      </c>
      <c r="B502" s="57" t="s">
        <v>37</v>
      </c>
      <c r="C502" s="20" t="s">
        <v>47</v>
      </c>
      <c r="D502" s="20">
        <v>2700</v>
      </c>
      <c r="E502" s="38">
        <v>300</v>
      </c>
      <c r="F502" s="20" t="s">
        <v>8</v>
      </c>
      <c r="G502" s="43">
        <v>31</v>
      </c>
      <c r="H502" s="43">
        <v>26.8</v>
      </c>
      <c r="I502" s="43">
        <v>0</v>
      </c>
      <c r="J502" s="43">
        <v>0</v>
      </c>
      <c r="K502" s="1">
        <f t="shared" ref="K502" si="1470">(IF(F502="SELL",G502-H502,IF(F502="BUY",H502-G502)))*E502</f>
        <v>-1259.9999999999998</v>
      </c>
      <c r="L502" s="43">
        <v>0</v>
      </c>
      <c r="M502" s="43">
        <v>0</v>
      </c>
      <c r="N502" s="1">
        <f t="shared" ref="N502" si="1471">(L502+K502+M502)/E502</f>
        <v>-4.1999999999999993</v>
      </c>
      <c r="O502" s="1">
        <f t="shared" ref="O502" si="1472">N502*E502</f>
        <v>-1259.9999999999998</v>
      </c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  <c r="AD502" s="31"/>
      <c r="AE502" s="31"/>
      <c r="AF502" s="31"/>
      <c r="AG502" s="31"/>
    </row>
    <row r="503" spans="1:33" s="32" customFormat="1" ht="15" customHeight="1">
      <c r="A503" s="37">
        <v>44125</v>
      </c>
      <c r="B503" s="57" t="s">
        <v>491</v>
      </c>
      <c r="C503" s="20" t="s">
        <v>47</v>
      </c>
      <c r="D503" s="20">
        <v>360</v>
      </c>
      <c r="E503" s="38">
        <v>1250</v>
      </c>
      <c r="F503" s="20" t="s">
        <v>8</v>
      </c>
      <c r="G503" s="43">
        <v>10.1</v>
      </c>
      <c r="H503" s="43">
        <v>12.5</v>
      </c>
      <c r="I503" s="43">
        <v>0</v>
      </c>
      <c r="J503" s="43">
        <v>0</v>
      </c>
      <c r="K503" s="1">
        <f t="shared" ref="K503" si="1473">(IF(F503="SELL",G503-H503,IF(F503="BUY",H503-G503)))*E503</f>
        <v>3000.0000000000005</v>
      </c>
      <c r="L503" s="43">
        <v>0</v>
      </c>
      <c r="M503" s="43">
        <v>0</v>
      </c>
      <c r="N503" s="1">
        <f t="shared" ref="N503" si="1474">(L503+K503+M503)/E503</f>
        <v>2.4000000000000004</v>
      </c>
      <c r="O503" s="1">
        <f t="shared" ref="O503" si="1475">N503*E503</f>
        <v>3000.0000000000005</v>
      </c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  <c r="AD503" s="31"/>
      <c r="AE503" s="31"/>
      <c r="AF503" s="31"/>
      <c r="AG503" s="31"/>
    </row>
    <row r="504" spans="1:33" s="32" customFormat="1" ht="15" customHeight="1">
      <c r="A504" s="37">
        <v>44125</v>
      </c>
      <c r="B504" s="57" t="s">
        <v>72</v>
      </c>
      <c r="C504" s="20" t="s">
        <v>47</v>
      </c>
      <c r="D504" s="20">
        <v>360</v>
      </c>
      <c r="E504" s="38">
        <v>1800</v>
      </c>
      <c r="F504" s="20" t="s">
        <v>8</v>
      </c>
      <c r="G504" s="43">
        <v>7.4</v>
      </c>
      <c r="H504" s="43">
        <v>6.4</v>
      </c>
      <c r="I504" s="43">
        <v>0</v>
      </c>
      <c r="J504" s="43">
        <v>0</v>
      </c>
      <c r="K504" s="1">
        <f t="shared" ref="K504" si="1476">(IF(F504="SELL",G504-H504,IF(F504="BUY",H504-G504)))*E504</f>
        <v>-1800</v>
      </c>
      <c r="L504" s="43">
        <v>0</v>
      </c>
      <c r="M504" s="43">
        <v>0</v>
      </c>
      <c r="N504" s="1">
        <f t="shared" ref="N504" si="1477">(L504+K504+M504)/E504</f>
        <v>-1</v>
      </c>
      <c r="O504" s="1">
        <f t="shared" ref="O504" si="1478">N504*E504</f>
        <v>-1800</v>
      </c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  <c r="AD504" s="31"/>
      <c r="AE504" s="31"/>
      <c r="AF504" s="31"/>
      <c r="AG504" s="31"/>
    </row>
    <row r="505" spans="1:33" s="32" customFormat="1" ht="15" customHeight="1">
      <c r="A505" s="37">
        <v>44124</v>
      </c>
      <c r="B505" s="57" t="s">
        <v>501</v>
      </c>
      <c r="C505" s="20" t="s">
        <v>47</v>
      </c>
      <c r="D505" s="20">
        <v>2800</v>
      </c>
      <c r="E505" s="38">
        <v>500</v>
      </c>
      <c r="F505" s="20" t="s">
        <v>8</v>
      </c>
      <c r="G505" s="43">
        <v>41</v>
      </c>
      <c r="H505" s="43">
        <v>46</v>
      </c>
      <c r="I505" s="43">
        <v>0</v>
      </c>
      <c r="J505" s="43">
        <v>0</v>
      </c>
      <c r="K505" s="1">
        <f t="shared" ref="K505" si="1479">(IF(F505="SELL",G505-H505,IF(F505="BUY",H505-G505)))*E505</f>
        <v>2500</v>
      </c>
      <c r="L505" s="43">
        <v>0</v>
      </c>
      <c r="M505" s="43">
        <v>0</v>
      </c>
      <c r="N505" s="1">
        <f t="shared" ref="N505" si="1480">(L505+K505+M505)/E505</f>
        <v>5</v>
      </c>
      <c r="O505" s="1">
        <f t="shared" ref="O505" si="1481">N505*E505</f>
        <v>2500</v>
      </c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  <c r="AD505" s="31"/>
      <c r="AE505" s="31"/>
      <c r="AF505" s="31"/>
      <c r="AG505" s="31"/>
    </row>
    <row r="506" spans="1:33" s="32" customFormat="1" ht="15" customHeight="1">
      <c r="A506" s="37">
        <v>44124</v>
      </c>
      <c r="B506" s="57" t="s">
        <v>27</v>
      </c>
      <c r="C506" s="20" t="s">
        <v>46</v>
      </c>
      <c r="D506" s="20">
        <v>110</v>
      </c>
      <c r="E506" s="38">
        <v>3700</v>
      </c>
      <c r="F506" s="20" t="s">
        <v>8</v>
      </c>
      <c r="G506" s="43">
        <v>1.5</v>
      </c>
      <c r="H506" s="43">
        <v>1.3</v>
      </c>
      <c r="I506" s="43">
        <v>0</v>
      </c>
      <c r="J506" s="43">
        <v>0</v>
      </c>
      <c r="K506" s="1">
        <f t="shared" ref="K506" si="1482">(IF(F506="SELL",G506-H506,IF(F506="BUY",H506-G506)))*E506</f>
        <v>-739.99999999999989</v>
      </c>
      <c r="L506" s="43">
        <v>0</v>
      </c>
      <c r="M506" s="43">
        <v>0</v>
      </c>
      <c r="N506" s="1">
        <f t="shared" ref="N506" si="1483">(L506+K506+M506)/E506</f>
        <v>-0.19999999999999996</v>
      </c>
      <c r="O506" s="1">
        <f t="shared" ref="O506" si="1484">N506*E506</f>
        <v>-739.99999999999989</v>
      </c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  <c r="AE506" s="31"/>
      <c r="AF506" s="31"/>
      <c r="AG506" s="31"/>
    </row>
    <row r="507" spans="1:33" s="32" customFormat="1" ht="15" customHeight="1">
      <c r="A507" s="37">
        <v>44124</v>
      </c>
      <c r="B507" s="57" t="s">
        <v>176</v>
      </c>
      <c r="C507" s="20" t="s">
        <v>47</v>
      </c>
      <c r="D507" s="20">
        <v>1440</v>
      </c>
      <c r="E507" s="38">
        <v>500</v>
      </c>
      <c r="F507" s="20" t="s">
        <v>8</v>
      </c>
      <c r="G507" s="43">
        <v>26</v>
      </c>
      <c r="H507" s="43">
        <v>20</v>
      </c>
      <c r="I507" s="43">
        <v>0</v>
      </c>
      <c r="J507" s="43">
        <v>0</v>
      </c>
      <c r="K507" s="1">
        <f t="shared" ref="K507" si="1485">(IF(F507="SELL",G507-H507,IF(F507="BUY",H507-G507)))*E507</f>
        <v>-3000</v>
      </c>
      <c r="L507" s="43">
        <v>0</v>
      </c>
      <c r="M507" s="43">
        <v>0</v>
      </c>
      <c r="N507" s="1">
        <f t="shared" ref="N507" si="1486">(L507+K507+M507)/E507</f>
        <v>-6</v>
      </c>
      <c r="O507" s="1">
        <f t="shared" ref="O507" si="1487">N507*E507</f>
        <v>-3000</v>
      </c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  <c r="AE507" s="31"/>
      <c r="AF507" s="31"/>
      <c r="AG507" s="31"/>
    </row>
    <row r="508" spans="1:33" s="32" customFormat="1" ht="15" customHeight="1">
      <c r="A508" s="37">
        <v>44123</v>
      </c>
      <c r="B508" s="57" t="s">
        <v>473</v>
      </c>
      <c r="C508" s="20" t="s">
        <v>47</v>
      </c>
      <c r="D508" s="20">
        <v>167.5</v>
      </c>
      <c r="E508" s="38">
        <v>3200</v>
      </c>
      <c r="F508" s="20" t="s">
        <v>8</v>
      </c>
      <c r="G508" s="43">
        <v>4.3</v>
      </c>
      <c r="H508" s="43">
        <v>4.45</v>
      </c>
      <c r="I508" s="43">
        <v>0</v>
      </c>
      <c r="J508" s="43">
        <v>0</v>
      </c>
      <c r="K508" s="1">
        <f t="shared" ref="K508" si="1488">(IF(F508="SELL",G508-H508,IF(F508="BUY",H508-G508)))*E508</f>
        <v>480.00000000000114</v>
      </c>
      <c r="L508" s="43">
        <v>0</v>
      </c>
      <c r="M508" s="43">
        <v>0</v>
      </c>
      <c r="N508" s="1">
        <f t="shared" ref="N508" si="1489">(L508+K508+M508)/E508</f>
        <v>0.15000000000000036</v>
      </c>
      <c r="O508" s="1">
        <f t="shared" ref="O508" si="1490">N508*E508</f>
        <v>480.00000000000114</v>
      </c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  <c r="AE508" s="31"/>
      <c r="AF508" s="31"/>
      <c r="AG508" s="31"/>
    </row>
    <row r="509" spans="1:33" s="32" customFormat="1" ht="15" customHeight="1">
      <c r="A509" s="37">
        <v>44123</v>
      </c>
      <c r="B509" s="57" t="s">
        <v>500</v>
      </c>
      <c r="C509" s="20" t="s">
        <v>47</v>
      </c>
      <c r="D509" s="20">
        <v>310</v>
      </c>
      <c r="E509" s="38">
        <v>3000</v>
      </c>
      <c r="F509" s="20" t="s">
        <v>8</v>
      </c>
      <c r="G509" s="43">
        <v>6.5</v>
      </c>
      <c r="H509" s="43">
        <v>6.45</v>
      </c>
      <c r="I509" s="43">
        <v>0</v>
      </c>
      <c r="J509" s="43">
        <v>0</v>
      </c>
      <c r="K509" s="1">
        <f t="shared" ref="K509" si="1491">(IF(F509="SELL",G509-H509,IF(F509="BUY",H509-G509)))*E509</f>
        <v>-149.99999999999946</v>
      </c>
      <c r="L509" s="43">
        <v>0</v>
      </c>
      <c r="M509" s="43">
        <v>0</v>
      </c>
      <c r="N509" s="1">
        <f t="shared" ref="N509" si="1492">(L509+K509+M509)/E509</f>
        <v>-4.9999999999999822E-2</v>
      </c>
      <c r="O509" s="1">
        <f t="shared" ref="O509" si="1493">N509*E509</f>
        <v>-149.99999999999946</v>
      </c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1"/>
      <c r="AD509" s="31"/>
      <c r="AE509" s="31"/>
      <c r="AF509" s="31"/>
      <c r="AG509" s="31"/>
    </row>
    <row r="510" spans="1:33" s="32" customFormat="1" ht="15" customHeight="1">
      <c r="A510" s="37">
        <v>44123</v>
      </c>
      <c r="B510" s="57" t="s">
        <v>371</v>
      </c>
      <c r="C510" s="20" t="s">
        <v>47</v>
      </c>
      <c r="D510" s="20">
        <v>780</v>
      </c>
      <c r="E510" s="38">
        <v>950</v>
      </c>
      <c r="F510" s="20" t="s">
        <v>8</v>
      </c>
      <c r="G510" s="43">
        <v>23</v>
      </c>
      <c r="H510" s="43">
        <v>20</v>
      </c>
      <c r="I510" s="43">
        <v>0</v>
      </c>
      <c r="J510" s="43">
        <v>0</v>
      </c>
      <c r="K510" s="1">
        <f t="shared" ref="K510" si="1494">(IF(F510="SELL",G510-H510,IF(F510="BUY",H510-G510)))*E510</f>
        <v>-2850</v>
      </c>
      <c r="L510" s="43">
        <v>0</v>
      </c>
      <c r="M510" s="43">
        <v>0</v>
      </c>
      <c r="N510" s="1">
        <f t="shared" ref="N510" si="1495">(L510+K510+M510)/E510</f>
        <v>-3</v>
      </c>
      <c r="O510" s="1">
        <f t="shared" ref="O510" si="1496">N510*E510</f>
        <v>-2850</v>
      </c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  <c r="AE510" s="31"/>
      <c r="AF510" s="31"/>
      <c r="AG510" s="31"/>
    </row>
    <row r="511" spans="1:33" s="32" customFormat="1" ht="15" customHeight="1">
      <c r="A511" s="37">
        <v>44120</v>
      </c>
      <c r="B511" s="57" t="s">
        <v>336</v>
      </c>
      <c r="C511" s="20" t="s">
        <v>47</v>
      </c>
      <c r="D511" s="20">
        <v>1380</v>
      </c>
      <c r="E511" s="38">
        <v>800</v>
      </c>
      <c r="F511" s="20" t="s">
        <v>8</v>
      </c>
      <c r="G511" s="43">
        <v>33</v>
      </c>
      <c r="H511" s="43">
        <v>37</v>
      </c>
      <c r="I511" s="43">
        <v>0</v>
      </c>
      <c r="J511" s="43">
        <v>0</v>
      </c>
      <c r="K511" s="1">
        <f t="shared" ref="K511" si="1497">(IF(F511="SELL",G511-H511,IF(F511="BUY",H511-G511)))*E511</f>
        <v>3200</v>
      </c>
      <c r="L511" s="43">
        <v>0</v>
      </c>
      <c r="M511" s="43">
        <v>0</v>
      </c>
      <c r="N511" s="1">
        <f t="shared" ref="N511" si="1498">(L511+K511+M511)/E511</f>
        <v>4</v>
      </c>
      <c r="O511" s="1">
        <f t="shared" ref="O511" si="1499">N511*E511</f>
        <v>3200</v>
      </c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  <c r="AD511" s="31"/>
      <c r="AE511" s="31"/>
      <c r="AF511" s="31"/>
      <c r="AG511" s="31"/>
    </row>
    <row r="512" spans="1:33" s="32" customFormat="1" ht="15" customHeight="1">
      <c r="A512" s="37">
        <v>44120</v>
      </c>
      <c r="B512" s="57" t="s">
        <v>72</v>
      </c>
      <c r="C512" s="20" t="s">
        <v>47</v>
      </c>
      <c r="D512" s="20">
        <v>340</v>
      </c>
      <c r="E512" s="38">
        <v>1800</v>
      </c>
      <c r="F512" s="20" t="s">
        <v>8</v>
      </c>
      <c r="G512" s="43">
        <v>13</v>
      </c>
      <c r="H512" s="43">
        <v>14.5</v>
      </c>
      <c r="I512" s="43">
        <v>0</v>
      </c>
      <c r="J512" s="43">
        <v>0</v>
      </c>
      <c r="K512" s="1">
        <f t="shared" ref="K512" si="1500">(IF(F512="SELL",G512-H512,IF(F512="BUY",H512-G512)))*E512</f>
        <v>2700</v>
      </c>
      <c r="L512" s="43">
        <v>0</v>
      </c>
      <c r="M512" s="43">
        <v>0</v>
      </c>
      <c r="N512" s="1">
        <f t="shared" ref="N512" si="1501">(L512+K512+M512)/E512</f>
        <v>1.5</v>
      </c>
      <c r="O512" s="1">
        <f t="shared" ref="O512" si="1502">N512*E512</f>
        <v>2700</v>
      </c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  <c r="AE512" s="31"/>
      <c r="AF512" s="31"/>
      <c r="AG512" s="31"/>
    </row>
    <row r="513" spans="1:33" s="32" customFormat="1" ht="15" customHeight="1">
      <c r="A513" s="37">
        <v>44120</v>
      </c>
      <c r="B513" s="57" t="s">
        <v>13</v>
      </c>
      <c r="C513" s="20" t="s">
        <v>47</v>
      </c>
      <c r="D513" s="20">
        <v>840</v>
      </c>
      <c r="E513" s="38">
        <v>1400</v>
      </c>
      <c r="F513" s="20" t="s">
        <v>8</v>
      </c>
      <c r="G513" s="43">
        <v>24</v>
      </c>
      <c r="H513" s="43">
        <v>22</v>
      </c>
      <c r="I513" s="43">
        <v>0</v>
      </c>
      <c r="J513" s="43">
        <v>0</v>
      </c>
      <c r="K513" s="1">
        <f t="shared" ref="K513" si="1503">(IF(F513="SELL",G513-H513,IF(F513="BUY",H513-G513)))*E513</f>
        <v>-2800</v>
      </c>
      <c r="L513" s="43">
        <v>0</v>
      </c>
      <c r="M513" s="43">
        <v>0</v>
      </c>
      <c r="N513" s="1">
        <f t="shared" ref="N513" si="1504">(L513+K513+M513)/E513</f>
        <v>-2</v>
      </c>
      <c r="O513" s="1">
        <f t="shared" ref="O513" si="1505">N513*E513</f>
        <v>-2800</v>
      </c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  <c r="AD513" s="31"/>
      <c r="AE513" s="31"/>
      <c r="AF513" s="31"/>
      <c r="AG513" s="31"/>
    </row>
    <row r="514" spans="1:33" s="32" customFormat="1" ht="15" customHeight="1">
      <c r="A514" s="37">
        <v>44119</v>
      </c>
      <c r="B514" s="57" t="s">
        <v>363</v>
      </c>
      <c r="C514" s="20" t="s">
        <v>47</v>
      </c>
      <c r="D514" s="20">
        <v>1160</v>
      </c>
      <c r="E514" s="38">
        <v>750</v>
      </c>
      <c r="F514" s="20" t="s">
        <v>8</v>
      </c>
      <c r="G514" s="43">
        <v>53</v>
      </c>
      <c r="H514" s="43">
        <v>57</v>
      </c>
      <c r="I514" s="43">
        <v>0</v>
      </c>
      <c r="J514" s="43">
        <v>0</v>
      </c>
      <c r="K514" s="1">
        <f t="shared" ref="K514" si="1506">(IF(F514="SELL",G514-H514,IF(F514="BUY",H514-G514)))*E514</f>
        <v>3000</v>
      </c>
      <c r="L514" s="43">
        <v>0</v>
      </c>
      <c r="M514" s="43">
        <v>0</v>
      </c>
      <c r="N514" s="1">
        <f t="shared" ref="N514" si="1507">(L514+K514+M514)/E514</f>
        <v>4</v>
      </c>
      <c r="O514" s="1">
        <f t="shared" ref="O514" si="1508">N514*E514</f>
        <v>3000</v>
      </c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  <c r="AE514" s="31"/>
      <c r="AF514" s="31"/>
      <c r="AG514" s="31"/>
    </row>
    <row r="515" spans="1:33" s="32" customFormat="1" ht="15" customHeight="1">
      <c r="A515" s="37">
        <v>44119</v>
      </c>
      <c r="B515" s="57" t="s">
        <v>109</v>
      </c>
      <c r="C515" s="20" t="s">
        <v>47</v>
      </c>
      <c r="D515" s="20">
        <v>342.5</v>
      </c>
      <c r="E515" s="38">
        <v>3200</v>
      </c>
      <c r="F515" s="20" t="s">
        <v>8</v>
      </c>
      <c r="G515" s="43">
        <v>10.199999999999999</v>
      </c>
      <c r="H515" s="43">
        <v>11.2</v>
      </c>
      <c r="I515" s="43">
        <v>0</v>
      </c>
      <c r="J515" s="43">
        <v>0</v>
      </c>
      <c r="K515" s="1">
        <f t="shared" ref="K515" si="1509">(IF(F515="SELL",G515-H515,IF(F515="BUY",H515-G515)))*E515</f>
        <v>3200</v>
      </c>
      <c r="L515" s="43">
        <v>0</v>
      </c>
      <c r="M515" s="43">
        <v>0</v>
      </c>
      <c r="N515" s="1">
        <f t="shared" ref="N515" si="1510">(L515+K515+M515)/E515</f>
        <v>1</v>
      </c>
      <c r="O515" s="1">
        <f t="shared" ref="O515" si="1511">N515*E515</f>
        <v>3200</v>
      </c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1"/>
      <c r="AD515" s="31"/>
      <c r="AE515" s="31"/>
      <c r="AF515" s="31"/>
      <c r="AG515" s="31"/>
    </row>
    <row r="516" spans="1:33" s="32" customFormat="1" ht="15" customHeight="1">
      <c r="A516" s="37">
        <v>44118</v>
      </c>
      <c r="B516" s="57" t="s">
        <v>60</v>
      </c>
      <c r="C516" s="20" t="s">
        <v>46</v>
      </c>
      <c r="D516" s="20">
        <v>90</v>
      </c>
      <c r="E516" s="38">
        <v>6200</v>
      </c>
      <c r="F516" s="20" t="s">
        <v>8</v>
      </c>
      <c r="G516" s="43">
        <v>2.6</v>
      </c>
      <c r="H516" s="43">
        <v>3.1</v>
      </c>
      <c r="I516" s="43">
        <v>0</v>
      </c>
      <c r="J516" s="43">
        <v>0</v>
      </c>
      <c r="K516" s="1">
        <f t="shared" ref="K516" si="1512">(IF(F516="SELL",G516-H516,IF(F516="BUY",H516-G516)))*E516</f>
        <v>3100</v>
      </c>
      <c r="L516" s="43">
        <v>0</v>
      </c>
      <c r="M516" s="43">
        <v>0</v>
      </c>
      <c r="N516" s="1">
        <f t="shared" ref="N516" si="1513">(L516+K516+M516)/E516</f>
        <v>0.5</v>
      </c>
      <c r="O516" s="1">
        <f t="shared" ref="O516" si="1514">N516*E516</f>
        <v>3100</v>
      </c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  <c r="AE516" s="31"/>
      <c r="AF516" s="31"/>
      <c r="AG516" s="31"/>
    </row>
    <row r="517" spans="1:33" s="32" customFormat="1" ht="15" customHeight="1">
      <c r="A517" s="37">
        <v>44118</v>
      </c>
      <c r="B517" s="57" t="s">
        <v>27</v>
      </c>
      <c r="C517" s="20" t="s">
        <v>46</v>
      </c>
      <c r="D517" s="20">
        <v>105</v>
      </c>
      <c r="E517" s="38">
        <v>3700</v>
      </c>
      <c r="F517" s="20" t="s">
        <v>8</v>
      </c>
      <c r="G517" s="43">
        <v>1.5</v>
      </c>
      <c r="H517" s="43">
        <v>1.8</v>
      </c>
      <c r="I517" s="43">
        <v>0</v>
      </c>
      <c r="J517" s="43">
        <v>0</v>
      </c>
      <c r="K517" s="1">
        <f t="shared" ref="K517" si="1515">(IF(F517="SELL",G517-H517,IF(F517="BUY",H517-G517)))*E517</f>
        <v>1110.0000000000002</v>
      </c>
      <c r="L517" s="43">
        <v>0</v>
      </c>
      <c r="M517" s="43">
        <v>0</v>
      </c>
      <c r="N517" s="1">
        <f t="shared" ref="N517" si="1516">(L517+K517+M517)/E517</f>
        <v>0.30000000000000004</v>
      </c>
      <c r="O517" s="1">
        <f t="shared" ref="O517" si="1517">N517*E517</f>
        <v>1110.0000000000002</v>
      </c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  <c r="AD517" s="31"/>
      <c r="AE517" s="31"/>
      <c r="AF517" s="31"/>
      <c r="AG517" s="31"/>
    </row>
    <row r="518" spans="1:33" s="32" customFormat="1" ht="15" customHeight="1">
      <c r="A518" s="37">
        <v>44118</v>
      </c>
      <c r="B518" s="57" t="s">
        <v>54</v>
      </c>
      <c r="C518" s="20" t="s">
        <v>46</v>
      </c>
      <c r="D518" s="20">
        <v>420</v>
      </c>
      <c r="E518" s="38">
        <v>1500</v>
      </c>
      <c r="F518" s="20" t="s">
        <v>8</v>
      </c>
      <c r="G518" s="43">
        <v>12</v>
      </c>
      <c r="H518" s="43">
        <v>10.35</v>
      </c>
      <c r="I518" s="43">
        <v>0</v>
      </c>
      <c r="J518" s="43">
        <v>0</v>
      </c>
      <c r="K518" s="1">
        <f t="shared" ref="K518" si="1518">(IF(F518="SELL",G518-H518,IF(F518="BUY",H518-G518)))*E518</f>
        <v>-2475.0000000000005</v>
      </c>
      <c r="L518" s="43">
        <v>0</v>
      </c>
      <c r="M518" s="43">
        <v>0</v>
      </c>
      <c r="N518" s="1">
        <f t="shared" ref="N518" si="1519">(L518+K518+M518)/E518</f>
        <v>-1.6500000000000004</v>
      </c>
      <c r="O518" s="1">
        <f t="shared" ref="O518" si="1520">N518*E518</f>
        <v>-2475.0000000000005</v>
      </c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  <c r="AD518" s="31"/>
      <c r="AE518" s="31"/>
      <c r="AF518" s="31"/>
      <c r="AG518" s="31"/>
    </row>
    <row r="519" spans="1:33" s="32" customFormat="1" ht="15" customHeight="1">
      <c r="A519" s="37">
        <v>44117</v>
      </c>
      <c r="B519" s="57" t="s">
        <v>26</v>
      </c>
      <c r="C519" s="20" t="s">
        <v>46</v>
      </c>
      <c r="D519" s="20">
        <v>370</v>
      </c>
      <c r="E519" s="38">
        <v>1700</v>
      </c>
      <c r="F519" s="20" t="s">
        <v>8</v>
      </c>
      <c r="G519" s="43">
        <v>17</v>
      </c>
      <c r="H519" s="43">
        <v>17.399999999999999</v>
      </c>
      <c r="I519" s="43">
        <v>0</v>
      </c>
      <c r="J519" s="43">
        <v>0</v>
      </c>
      <c r="K519" s="1">
        <f t="shared" ref="K519" si="1521">(IF(F519="SELL",G519-H519,IF(F519="BUY",H519-G519)))*E519</f>
        <v>679.99999999999761</v>
      </c>
      <c r="L519" s="43">
        <v>0</v>
      </c>
      <c r="M519" s="43">
        <v>0</v>
      </c>
      <c r="N519" s="1">
        <f t="shared" ref="N519" si="1522">(L519+K519+M519)/E519</f>
        <v>0.39999999999999858</v>
      </c>
      <c r="O519" s="1">
        <f t="shared" ref="O519" si="1523">N519*E519</f>
        <v>679.99999999999761</v>
      </c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1"/>
      <c r="AD519" s="31"/>
      <c r="AE519" s="31"/>
      <c r="AF519" s="31"/>
      <c r="AG519" s="31"/>
    </row>
    <row r="520" spans="1:33" s="32" customFormat="1" ht="15" customHeight="1">
      <c r="A520" s="37">
        <v>44116</v>
      </c>
      <c r="B520" s="57" t="s">
        <v>106</v>
      </c>
      <c r="C520" s="20" t="s">
        <v>47</v>
      </c>
      <c r="D520" s="20">
        <v>5150</v>
      </c>
      <c r="E520" s="38">
        <v>250</v>
      </c>
      <c r="F520" s="20" t="s">
        <v>8</v>
      </c>
      <c r="G520" s="43">
        <v>243</v>
      </c>
      <c r="H520" s="43">
        <v>252</v>
      </c>
      <c r="I520" s="43">
        <v>270</v>
      </c>
      <c r="J520" s="43">
        <v>0</v>
      </c>
      <c r="K520" s="1">
        <f t="shared" ref="K520" si="1524">(IF(F520="SELL",G520-H520,IF(F520="BUY",H520-G520)))*E520</f>
        <v>2250</v>
      </c>
      <c r="L520" s="43">
        <f>E520*18</f>
        <v>4500</v>
      </c>
      <c r="M520" s="43">
        <v>0</v>
      </c>
      <c r="N520" s="1">
        <f t="shared" ref="N520" si="1525">(L520+K520+M520)/E520</f>
        <v>27</v>
      </c>
      <c r="O520" s="1">
        <f t="shared" ref="O520" si="1526">N520*E520</f>
        <v>6750</v>
      </c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  <c r="AD520" s="31"/>
      <c r="AE520" s="31"/>
      <c r="AF520" s="31"/>
      <c r="AG520" s="31"/>
    </row>
    <row r="521" spans="1:33" s="32" customFormat="1" ht="15" customHeight="1">
      <c r="A521" s="37">
        <v>44113</v>
      </c>
      <c r="B521" s="57" t="s">
        <v>72</v>
      </c>
      <c r="C521" s="20" t="s">
        <v>47</v>
      </c>
      <c r="D521" s="20">
        <v>340</v>
      </c>
      <c r="E521" s="38">
        <v>1800</v>
      </c>
      <c r="F521" s="20" t="s">
        <v>8</v>
      </c>
      <c r="G521" s="43">
        <v>19.5</v>
      </c>
      <c r="H521" s="43">
        <v>21.5</v>
      </c>
      <c r="I521" s="43">
        <v>0</v>
      </c>
      <c r="J521" s="43">
        <v>0</v>
      </c>
      <c r="K521" s="1">
        <f t="shared" ref="K521" si="1527">(IF(F521="SELL",G521-H521,IF(F521="BUY",H521-G521)))*E521</f>
        <v>3600</v>
      </c>
      <c r="L521" s="43">
        <v>0</v>
      </c>
      <c r="M521" s="43">
        <v>0</v>
      </c>
      <c r="N521" s="1">
        <f t="shared" ref="N521" si="1528">(L521+K521+M521)/E521</f>
        <v>2</v>
      </c>
      <c r="O521" s="1">
        <f t="shared" ref="O521" si="1529">N521*E521</f>
        <v>3600</v>
      </c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  <c r="AD521" s="31"/>
      <c r="AE521" s="31"/>
      <c r="AF521" s="31"/>
      <c r="AG521" s="31"/>
    </row>
    <row r="522" spans="1:33" s="32" customFormat="1" ht="15" customHeight="1">
      <c r="A522" s="37">
        <v>44113</v>
      </c>
      <c r="B522" s="57" t="s">
        <v>332</v>
      </c>
      <c r="C522" s="20" t="s">
        <v>47</v>
      </c>
      <c r="D522" s="20">
        <v>880</v>
      </c>
      <c r="E522" s="38">
        <v>1200</v>
      </c>
      <c r="F522" s="20" t="s">
        <v>8</v>
      </c>
      <c r="G522" s="43">
        <v>30</v>
      </c>
      <c r="H522" s="43">
        <v>30</v>
      </c>
      <c r="I522" s="43">
        <v>0</v>
      </c>
      <c r="J522" s="43">
        <v>0</v>
      </c>
      <c r="K522" s="1">
        <f t="shared" ref="K522" si="1530">(IF(F522="SELL",G522-H522,IF(F522="BUY",H522-G522)))*E522</f>
        <v>0</v>
      </c>
      <c r="L522" s="43">
        <v>0</v>
      </c>
      <c r="M522" s="43">
        <v>0</v>
      </c>
      <c r="N522" s="1">
        <f t="shared" ref="N522" si="1531">(L522+K522+M522)/E522</f>
        <v>0</v>
      </c>
      <c r="O522" s="1">
        <f t="shared" ref="O522" si="1532">N522*E522</f>
        <v>0</v>
      </c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1"/>
      <c r="AD522" s="31"/>
      <c r="AE522" s="31"/>
      <c r="AF522" s="31"/>
      <c r="AG522" s="31"/>
    </row>
    <row r="523" spans="1:33" s="32" customFormat="1" ht="15" customHeight="1">
      <c r="A523" s="37">
        <v>44112</v>
      </c>
      <c r="B523" s="57" t="s">
        <v>17</v>
      </c>
      <c r="C523" s="20" t="s">
        <v>46</v>
      </c>
      <c r="D523" s="20">
        <v>460</v>
      </c>
      <c r="E523" s="38">
        <v>1200</v>
      </c>
      <c r="F523" s="20" t="s">
        <v>8</v>
      </c>
      <c r="G523" s="43">
        <v>20</v>
      </c>
      <c r="H523" s="43">
        <v>22</v>
      </c>
      <c r="I523" s="43">
        <v>25</v>
      </c>
      <c r="J523" s="43">
        <v>0</v>
      </c>
      <c r="K523" s="1">
        <f t="shared" ref="K523" si="1533">(IF(F523="SELL",G523-H523,IF(F523="BUY",H523-G523)))*E523</f>
        <v>2400</v>
      </c>
      <c r="L523" s="43">
        <f>E523*3</f>
        <v>3600</v>
      </c>
      <c r="M523" s="43">
        <v>0</v>
      </c>
      <c r="N523" s="1">
        <f t="shared" ref="N523" si="1534">(L523+K523+M523)/E523</f>
        <v>5</v>
      </c>
      <c r="O523" s="1">
        <f t="shared" ref="O523" si="1535">N523*E523</f>
        <v>6000</v>
      </c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  <c r="AD523" s="31"/>
      <c r="AE523" s="31"/>
      <c r="AF523" s="31"/>
      <c r="AG523" s="31"/>
    </row>
    <row r="524" spans="1:33" s="32" customFormat="1" ht="15" customHeight="1">
      <c r="A524" s="37">
        <v>44112</v>
      </c>
      <c r="B524" s="57" t="s">
        <v>72</v>
      </c>
      <c r="C524" s="20" t="s">
        <v>47</v>
      </c>
      <c r="D524" s="20">
        <v>340</v>
      </c>
      <c r="E524" s="38">
        <v>1800</v>
      </c>
      <c r="F524" s="20" t="s">
        <v>8</v>
      </c>
      <c r="G524" s="43">
        <v>19.5</v>
      </c>
      <c r="H524" s="43">
        <v>18.149999999999999</v>
      </c>
      <c r="I524" s="43">
        <v>0</v>
      </c>
      <c r="J524" s="43">
        <v>0</v>
      </c>
      <c r="K524" s="1">
        <f t="shared" ref="K524" si="1536">(IF(F524="SELL",G524-H524,IF(F524="BUY",H524-G524)))*E524</f>
        <v>-2430.0000000000027</v>
      </c>
      <c r="L524" s="43">
        <v>0</v>
      </c>
      <c r="M524" s="43">
        <v>0</v>
      </c>
      <c r="N524" s="1">
        <f t="shared" ref="N524" si="1537">(L524+K524+M524)/E524</f>
        <v>-1.3500000000000014</v>
      </c>
      <c r="O524" s="1">
        <f t="shared" ref="O524" si="1538">N524*E524</f>
        <v>-2430.0000000000027</v>
      </c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1"/>
      <c r="AD524" s="31"/>
      <c r="AE524" s="31"/>
      <c r="AF524" s="31"/>
      <c r="AG524" s="31"/>
    </row>
    <row r="525" spans="1:33" s="32" customFormat="1" ht="15" customHeight="1">
      <c r="A525" s="37">
        <v>44111</v>
      </c>
      <c r="B525" s="57" t="s">
        <v>24</v>
      </c>
      <c r="C525" s="20" t="s">
        <v>46</v>
      </c>
      <c r="D525" s="20">
        <v>140</v>
      </c>
      <c r="E525" s="38">
        <v>5700</v>
      </c>
      <c r="F525" s="20" t="s">
        <v>8</v>
      </c>
      <c r="G525" s="43">
        <v>6.55</v>
      </c>
      <c r="H525" s="43">
        <v>7.1</v>
      </c>
      <c r="I525" s="43">
        <v>0</v>
      </c>
      <c r="J525" s="43">
        <v>0</v>
      </c>
      <c r="K525" s="1">
        <f t="shared" ref="K525:K526" si="1539">(IF(F525="SELL",G525-H525,IF(F525="BUY",H525-G525)))*E525</f>
        <v>3134.9999999999991</v>
      </c>
      <c r="L525" s="43">
        <v>0</v>
      </c>
      <c r="M525" s="43">
        <v>0</v>
      </c>
      <c r="N525" s="1">
        <f t="shared" ref="N525:N526" si="1540">(L525+K525+M525)/E525</f>
        <v>0.54999999999999982</v>
      </c>
      <c r="O525" s="1">
        <f t="shared" ref="O525:O526" si="1541">N525*E525</f>
        <v>3134.9999999999991</v>
      </c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1"/>
      <c r="AD525" s="31"/>
      <c r="AE525" s="31"/>
      <c r="AF525" s="31"/>
      <c r="AG525" s="31"/>
    </row>
    <row r="526" spans="1:33" s="32" customFormat="1" ht="15" customHeight="1">
      <c r="A526" s="37">
        <v>44111</v>
      </c>
      <c r="B526" s="57" t="s">
        <v>72</v>
      </c>
      <c r="C526" s="20" t="s">
        <v>46</v>
      </c>
      <c r="D526" s="20">
        <v>340</v>
      </c>
      <c r="E526" s="38">
        <v>1800</v>
      </c>
      <c r="F526" s="20" t="s">
        <v>8</v>
      </c>
      <c r="G526" s="43">
        <v>13.5</v>
      </c>
      <c r="H526" s="43">
        <v>14.4</v>
      </c>
      <c r="I526" s="43">
        <v>15.7</v>
      </c>
      <c r="J526" s="43">
        <v>0</v>
      </c>
      <c r="K526" s="1">
        <f t="shared" si="1539"/>
        <v>1620.0000000000007</v>
      </c>
      <c r="L526" s="43">
        <f>E526*1.3</f>
        <v>2340</v>
      </c>
      <c r="M526" s="43">
        <v>0</v>
      </c>
      <c r="N526" s="1">
        <f t="shared" si="1540"/>
        <v>2.2000000000000006</v>
      </c>
      <c r="O526" s="1">
        <f t="shared" si="1541"/>
        <v>3960.0000000000009</v>
      </c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  <c r="AD526" s="31"/>
      <c r="AE526" s="31"/>
      <c r="AF526" s="31"/>
      <c r="AG526" s="31"/>
    </row>
    <row r="527" spans="1:33" s="32" customFormat="1" ht="15" customHeight="1">
      <c r="A527" s="37">
        <v>44110</v>
      </c>
      <c r="B527" s="57" t="s">
        <v>368</v>
      </c>
      <c r="C527" s="20" t="s">
        <v>46</v>
      </c>
      <c r="D527" s="20">
        <v>210</v>
      </c>
      <c r="E527" s="38">
        <v>3000</v>
      </c>
      <c r="F527" s="20" t="s">
        <v>8</v>
      </c>
      <c r="G527" s="43">
        <v>5.5</v>
      </c>
      <c r="H527" s="43">
        <v>4.6500000000000004</v>
      </c>
      <c r="I527" s="43">
        <v>0</v>
      </c>
      <c r="J527" s="43">
        <v>0</v>
      </c>
      <c r="K527" s="1">
        <f t="shared" ref="K527:K528" si="1542">(IF(F527="SELL",G527-H527,IF(F527="BUY",H527-G527)))*E527</f>
        <v>-2549.9999999999991</v>
      </c>
      <c r="L527" s="43">
        <v>0</v>
      </c>
      <c r="M527" s="43">
        <v>0</v>
      </c>
      <c r="N527" s="1">
        <f t="shared" ref="N527:N528" si="1543">(L527+K527+M527)/E527</f>
        <v>-0.84999999999999964</v>
      </c>
      <c r="O527" s="1">
        <f t="shared" ref="O527:O528" si="1544">N527*E527</f>
        <v>-2549.9999999999991</v>
      </c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  <c r="AD527" s="31"/>
      <c r="AE527" s="31"/>
      <c r="AF527" s="31"/>
      <c r="AG527" s="31"/>
    </row>
    <row r="528" spans="1:33" s="32" customFormat="1" ht="15" customHeight="1">
      <c r="A528" s="37">
        <v>44110</v>
      </c>
      <c r="B528" s="57" t="s">
        <v>406</v>
      </c>
      <c r="C528" s="20" t="s">
        <v>47</v>
      </c>
      <c r="D528" s="20">
        <v>550</v>
      </c>
      <c r="E528" s="38">
        <v>1250</v>
      </c>
      <c r="F528" s="20" t="s">
        <v>8</v>
      </c>
      <c r="G528" s="43">
        <v>10</v>
      </c>
      <c r="H528" s="43">
        <v>7.45</v>
      </c>
      <c r="I528" s="43">
        <v>0</v>
      </c>
      <c r="J528" s="43">
        <v>0</v>
      </c>
      <c r="K528" s="1">
        <f t="shared" si="1542"/>
        <v>-3187.5</v>
      </c>
      <c r="L528" s="43">
        <v>0</v>
      </c>
      <c r="M528" s="43">
        <v>0</v>
      </c>
      <c r="N528" s="1">
        <f t="shared" si="1543"/>
        <v>-2.5499999999999998</v>
      </c>
      <c r="O528" s="1">
        <f t="shared" si="1544"/>
        <v>-3187.5</v>
      </c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  <c r="AD528" s="31"/>
      <c r="AE528" s="31"/>
      <c r="AF528" s="31"/>
      <c r="AG528" s="31"/>
    </row>
    <row r="529" spans="1:33" s="32" customFormat="1" ht="15" customHeight="1">
      <c r="A529" s="37">
        <v>44110</v>
      </c>
      <c r="B529" s="57" t="s">
        <v>28</v>
      </c>
      <c r="C529" s="20" t="s">
        <v>46</v>
      </c>
      <c r="D529" s="20">
        <v>430</v>
      </c>
      <c r="E529" s="38">
        <v>1851</v>
      </c>
      <c r="F529" s="20" t="s">
        <v>8</v>
      </c>
      <c r="G529" s="43">
        <v>20.399999999999999</v>
      </c>
      <c r="H529" s="43">
        <v>22</v>
      </c>
      <c r="I529" s="43">
        <v>0</v>
      </c>
      <c r="J529" s="43">
        <v>0</v>
      </c>
      <c r="K529" s="1">
        <f t="shared" ref="K529" si="1545">(IF(F529="SELL",G529-H529,IF(F529="BUY",H529-G529)))*E529</f>
        <v>2961.6000000000026</v>
      </c>
      <c r="L529" s="43">
        <v>0</v>
      </c>
      <c r="M529" s="43">
        <v>0</v>
      </c>
      <c r="N529" s="1">
        <f t="shared" ref="N529" si="1546">(L529+K529+M529)/E529</f>
        <v>1.6000000000000014</v>
      </c>
      <c r="O529" s="1">
        <f t="shared" ref="O529" si="1547">N529*E529</f>
        <v>2961.6000000000026</v>
      </c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1"/>
      <c r="AD529" s="31"/>
      <c r="AE529" s="31"/>
      <c r="AF529" s="31"/>
      <c r="AG529" s="31"/>
    </row>
    <row r="530" spans="1:33" s="32" customFormat="1" ht="15" customHeight="1">
      <c r="A530" s="37">
        <v>44109</v>
      </c>
      <c r="B530" s="57" t="s">
        <v>21</v>
      </c>
      <c r="C530" s="20" t="s">
        <v>47</v>
      </c>
      <c r="D530" s="20">
        <v>200</v>
      </c>
      <c r="E530" s="38">
        <v>3000</v>
      </c>
      <c r="F530" s="20" t="s">
        <v>8</v>
      </c>
      <c r="G530" s="43">
        <v>5.5</v>
      </c>
      <c r="H530" s="43">
        <v>4.6500000000000004</v>
      </c>
      <c r="I530" s="43">
        <v>0</v>
      </c>
      <c r="J530" s="43">
        <v>0</v>
      </c>
      <c r="K530" s="1">
        <f t="shared" ref="K530:K531" si="1548">(IF(F530="SELL",G530-H530,IF(F530="BUY",H530-G530)))*E530</f>
        <v>-2549.9999999999991</v>
      </c>
      <c r="L530" s="43">
        <v>0</v>
      </c>
      <c r="M530" s="43">
        <v>0</v>
      </c>
      <c r="N530" s="1">
        <f t="shared" ref="N530:N531" si="1549">(L530+K530+M530)/E530</f>
        <v>-0.84999999999999964</v>
      </c>
      <c r="O530" s="1">
        <f t="shared" ref="O530:O531" si="1550">N530*E530</f>
        <v>-2549.9999999999991</v>
      </c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  <c r="AC530" s="31"/>
      <c r="AD530" s="31"/>
      <c r="AE530" s="31"/>
      <c r="AF530" s="31"/>
      <c r="AG530" s="31"/>
    </row>
    <row r="531" spans="1:33" s="32" customFormat="1" ht="15" customHeight="1">
      <c r="A531" s="37">
        <v>44109</v>
      </c>
      <c r="B531" s="57" t="s">
        <v>63</v>
      </c>
      <c r="C531" s="20" t="s">
        <v>46</v>
      </c>
      <c r="D531" s="20">
        <v>170</v>
      </c>
      <c r="E531" s="38">
        <v>2700</v>
      </c>
      <c r="F531" s="20" t="s">
        <v>8</v>
      </c>
      <c r="G531" s="43">
        <v>6</v>
      </c>
      <c r="H531" s="43">
        <v>5.55</v>
      </c>
      <c r="I531" s="43">
        <v>0</v>
      </c>
      <c r="J531" s="43">
        <v>0</v>
      </c>
      <c r="K531" s="1">
        <f t="shared" si="1548"/>
        <v>-1215.0000000000005</v>
      </c>
      <c r="L531" s="43">
        <v>0</v>
      </c>
      <c r="M531" s="43">
        <v>0</v>
      </c>
      <c r="N531" s="1">
        <f t="shared" si="1549"/>
        <v>-0.45000000000000018</v>
      </c>
      <c r="O531" s="1">
        <f t="shared" si="1550"/>
        <v>-1215.0000000000005</v>
      </c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AC531" s="31"/>
      <c r="AD531" s="31"/>
      <c r="AE531" s="31"/>
      <c r="AF531" s="31"/>
      <c r="AG531" s="31"/>
    </row>
    <row r="532" spans="1:33" s="32" customFormat="1" ht="15" customHeight="1">
      <c r="A532" s="37">
        <v>44105</v>
      </c>
      <c r="B532" s="57" t="s">
        <v>62</v>
      </c>
      <c r="C532" s="20" t="s">
        <v>47</v>
      </c>
      <c r="D532" s="20">
        <v>90</v>
      </c>
      <c r="E532" s="38">
        <v>6200</v>
      </c>
      <c r="F532" s="20" t="s">
        <v>8</v>
      </c>
      <c r="G532" s="43">
        <v>2.9</v>
      </c>
      <c r="H532" s="43">
        <v>2.85</v>
      </c>
      <c r="I532" s="43">
        <v>0</v>
      </c>
      <c r="J532" s="43">
        <v>0</v>
      </c>
      <c r="K532" s="1">
        <f t="shared" ref="K532" si="1551">(IF(F532="SELL",G532-H532,IF(F532="BUY",H532-G532)))*E532</f>
        <v>-309.99999999999892</v>
      </c>
      <c r="L532" s="43">
        <v>0</v>
      </c>
      <c r="M532" s="43">
        <v>0</v>
      </c>
      <c r="N532" s="1">
        <f t="shared" ref="N532" si="1552">(L532+K532+M532)/E532</f>
        <v>-4.9999999999999822E-2</v>
      </c>
      <c r="O532" s="1">
        <f t="shared" ref="O532" si="1553">N532*E532</f>
        <v>-309.99999999999892</v>
      </c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1"/>
      <c r="AD532" s="31"/>
      <c r="AE532" s="31"/>
      <c r="AF532" s="31"/>
      <c r="AG532" s="31"/>
    </row>
    <row r="533" spans="1:33" s="32" customFormat="1" ht="15" customHeight="1">
      <c r="A533" s="37">
        <v>44105</v>
      </c>
      <c r="B533" s="57" t="s">
        <v>71</v>
      </c>
      <c r="C533" s="20" t="s">
        <v>47</v>
      </c>
      <c r="D533" s="20">
        <v>290</v>
      </c>
      <c r="E533" s="38">
        <v>2700</v>
      </c>
      <c r="F533" s="20" t="s">
        <v>8</v>
      </c>
      <c r="G533" s="43">
        <v>10.75</v>
      </c>
      <c r="H533" s="43">
        <v>11.75</v>
      </c>
      <c r="I533" s="43">
        <v>0</v>
      </c>
      <c r="J533" s="43">
        <v>0</v>
      </c>
      <c r="K533" s="1">
        <f t="shared" ref="K533" si="1554">(IF(F533="SELL",G533-H533,IF(F533="BUY",H533-G533)))*E533</f>
        <v>2700</v>
      </c>
      <c r="L533" s="43">
        <v>0</v>
      </c>
      <c r="M533" s="43">
        <v>0</v>
      </c>
      <c r="N533" s="1">
        <f t="shared" ref="N533" si="1555">(L533+K533+M533)/E533</f>
        <v>1</v>
      </c>
      <c r="O533" s="1">
        <f t="shared" ref="O533" si="1556">N533*E533</f>
        <v>2700</v>
      </c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  <c r="AC533" s="31"/>
      <c r="AD533" s="31"/>
      <c r="AE533" s="31"/>
      <c r="AF533" s="31"/>
      <c r="AG533" s="31"/>
    </row>
    <row r="534" spans="1:33" s="32" customFormat="1" ht="15" customHeight="1">
      <c r="A534" s="37">
        <v>44105</v>
      </c>
      <c r="B534" s="57" t="s">
        <v>28</v>
      </c>
      <c r="C534" s="20" t="s">
        <v>47</v>
      </c>
      <c r="D534" s="20">
        <v>440</v>
      </c>
      <c r="E534" s="38">
        <v>1851</v>
      </c>
      <c r="F534" s="20" t="s">
        <v>8</v>
      </c>
      <c r="G534" s="43">
        <v>16.5</v>
      </c>
      <c r="H534" s="43">
        <v>17.25</v>
      </c>
      <c r="I534" s="43">
        <v>0</v>
      </c>
      <c r="J534" s="43">
        <v>0</v>
      </c>
      <c r="K534" s="1">
        <f t="shared" ref="K534" si="1557">(IF(F534="SELL",G534-H534,IF(F534="BUY",H534-G534)))*E534</f>
        <v>1388.25</v>
      </c>
      <c r="L534" s="43">
        <v>0</v>
      </c>
      <c r="M534" s="43">
        <v>0</v>
      </c>
      <c r="N534" s="1">
        <f t="shared" ref="N534" si="1558">(L534+K534+M534)/E534</f>
        <v>0.75</v>
      </c>
      <c r="O534" s="1">
        <f t="shared" ref="O534" si="1559">N534*E534</f>
        <v>1388.25</v>
      </c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1"/>
      <c r="AD534" s="31"/>
      <c r="AE534" s="31"/>
      <c r="AF534" s="31"/>
      <c r="AG534" s="31"/>
    </row>
    <row r="535" spans="1:33" s="32" customFormat="1" ht="15" customHeight="1">
      <c r="A535" s="37">
        <v>44104</v>
      </c>
      <c r="B535" s="57" t="s">
        <v>398</v>
      </c>
      <c r="C535" s="20" t="s">
        <v>46</v>
      </c>
      <c r="D535" s="20">
        <v>180</v>
      </c>
      <c r="E535" s="38">
        <v>2800</v>
      </c>
      <c r="F535" s="20" t="s">
        <v>8</v>
      </c>
      <c r="G535" s="43">
        <v>12</v>
      </c>
      <c r="H535" s="43">
        <v>13.25</v>
      </c>
      <c r="I535" s="43">
        <v>0</v>
      </c>
      <c r="J535" s="43">
        <v>0</v>
      </c>
      <c r="K535" s="1">
        <f t="shared" ref="K535:K537" si="1560">(IF(F535="SELL",G535-H535,IF(F535="BUY",H535-G535)))*E535</f>
        <v>3500</v>
      </c>
      <c r="L535" s="43">
        <v>0</v>
      </c>
      <c r="M535" s="43">
        <v>0</v>
      </c>
      <c r="N535" s="1">
        <f t="shared" ref="N535:N537" si="1561">(L535+K535+M535)/E535</f>
        <v>1.25</v>
      </c>
      <c r="O535" s="1">
        <f t="shared" ref="O535:O537" si="1562">N535*E535</f>
        <v>3500</v>
      </c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1"/>
      <c r="AD535" s="31"/>
      <c r="AE535" s="31"/>
      <c r="AF535" s="31"/>
      <c r="AG535" s="31"/>
    </row>
    <row r="536" spans="1:33" s="32" customFormat="1" ht="15" customHeight="1">
      <c r="A536" s="37">
        <v>44104</v>
      </c>
      <c r="B536" s="57" t="s">
        <v>39</v>
      </c>
      <c r="C536" s="20" t="s">
        <v>46</v>
      </c>
      <c r="D536" s="20">
        <v>2250</v>
      </c>
      <c r="E536" s="38">
        <v>505</v>
      </c>
      <c r="F536" s="20" t="s">
        <v>8</v>
      </c>
      <c r="G536" s="43">
        <v>80</v>
      </c>
      <c r="H536" s="43">
        <v>82.1</v>
      </c>
      <c r="I536" s="43">
        <v>89</v>
      </c>
      <c r="J536" s="43">
        <v>0</v>
      </c>
      <c r="K536" s="1">
        <f t="shared" si="1560"/>
        <v>1060.499999999997</v>
      </c>
      <c r="L536" s="43">
        <f>E536*6.9</f>
        <v>3484.5</v>
      </c>
      <c r="M536" s="43">
        <v>0</v>
      </c>
      <c r="N536" s="1">
        <f t="shared" si="1561"/>
        <v>8.9999999999999947</v>
      </c>
      <c r="O536" s="1">
        <f t="shared" si="1562"/>
        <v>4544.9999999999973</v>
      </c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  <c r="AD536" s="31"/>
      <c r="AE536" s="31"/>
      <c r="AF536" s="31"/>
      <c r="AG536" s="31"/>
    </row>
    <row r="537" spans="1:33" s="32" customFormat="1" ht="15" customHeight="1">
      <c r="A537" s="37">
        <v>44104</v>
      </c>
      <c r="B537" s="57" t="s">
        <v>391</v>
      </c>
      <c r="C537" s="20" t="s">
        <v>46</v>
      </c>
      <c r="D537" s="20">
        <v>530</v>
      </c>
      <c r="E537" s="38">
        <v>1400</v>
      </c>
      <c r="F537" s="20" t="s">
        <v>8</v>
      </c>
      <c r="G537" s="43">
        <v>16</v>
      </c>
      <c r="H537" s="43">
        <v>13.45</v>
      </c>
      <c r="I537" s="43">
        <v>0</v>
      </c>
      <c r="J537" s="43">
        <v>0</v>
      </c>
      <c r="K537" s="1">
        <f t="shared" si="1560"/>
        <v>-3570.0000000000009</v>
      </c>
      <c r="L537" s="43">
        <v>0</v>
      </c>
      <c r="M537" s="43">
        <v>0</v>
      </c>
      <c r="N537" s="1">
        <f t="shared" si="1561"/>
        <v>-2.5500000000000007</v>
      </c>
      <c r="O537" s="1">
        <f t="shared" si="1562"/>
        <v>-3570.0000000000009</v>
      </c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1"/>
      <c r="AD537" s="31"/>
      <c r="AE537" s="31"/>
      <c r="AF537" s="31"/>
      <c r="AG537" s="31"/>
    </row>
    <row r="538" spans="1:33" s="32" customFormat="1" ht="15" customHeight="1">
      <c r="A538" s="37">
        <v>44103</v>
      </c>
      <c r="B538" s="20" t="s">
        <v>71</v>
      </c>
      <c r="C538" s="20" t="s">
        <v>47</v>
      </c>
      <c r="D538" s="20">
        <v>285</v>
      </c>
      <c r="E538" s="38">
        <v>2700</v>
      </c>
      <c r="F538" s="20" t="s">
        <v>8</v>
      </c>
      <c r="G538" s="43">
        <v>12.5</v>
      </c>
      <c r="H538" s="43">
        <v>11.2</v>
      </c>
      <c r="I538" s="43">
        <v>0</v>
      </c>
      <c r="J538" s="43">
        <v>0</v>
      </c>
      <c r="K538" s="1">
        <f t="shared" ref="K538" si="1563">(IF(F538="SELL",G538-H538,IF(F538="BUY",H538-G538)))*E538</f>
        <v>-3510.0000000000018</v>
      </c>
      <c r="L538" s="43">
        <v>0</v>
      </c>
      <c r="M538" s="43">
        <v>0</v>
      </c>
      <c r="N538" s="1">
        <f t="shared" ref="N538" si="1564">(L538+K538+M538)/E538</f>
        <v>-1.3000000000000007</v>
      </c>
      <c r="O538" s="1">
        <f t="shared" ref="O538" si="1565">N538*E538</f>
        <v>-3510.0000000000018</v>
      </c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  <c r="AD538" s="31"/>
      <c r="AE538" s="31"/>
      <c r="AF538" s="31"/>
      <c r="AG538" s="31"/>
    </row>
    <row r="539" spans="1:33" s="32" customFormat="1" ht="15" customHeight="1">
      <c r="A539" s="37">
        <v>44103</v>
      </c>
      <c r="B539" s="57" t="s">
        <v>28</v>
      </c>
      <c r="C539" s="20" t="s">
        <v>46</v>
      </c>
      <c r="D539" s="20">
        <v>440</v>
      </c>
      <c r="E539" s="38">
        <v>1851</v>
      </c>
      <c r="F539" s="20" t="s">
        <v>8</v>
      </c>
      <c r="G539" s="43">
        <v>21.5</v>
      </c>
      <c r="H539" s="43">
        <v>23.25</v>
      </c>
      <c r="I539" s="43">
        <v>25.5</v>
      </c>
      <c r="J539" s="43">
        <v>0</v>
      </c>
      <c r="K539" s="1">
        <f t="shared" ref="K539" si="1566">(IF(F539="SELL",G539-H539,IF(F539="BUY",H539-G539)))*E539</f>
        <v>3239.25</v>
      </c>
      <c r="L539" s="43">
        <f>E539*2.25</f>
        <v>4164.75</v>
      </c>
      <c r="M539" s="43">
        <v>0</v>
      </c>
      <c r="N539" s="1">
        <f t="shared" ref="N539" si="1567">(L539+K539+M539)/E539</f>
        <v>4</v>
      </c>
      <c r="O539" s="1">
        <f t="shared" ref="O539" si="1568">N539*E539</f>
        <v>7404</v>
      </c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1"/>
      <c r="AD539" s="31"/>
      <c r="AE539" s="31"/>
      <c r="AF539" s="31"/>
      <c r="AG539" s="31"/>
    </row>
    <row r="540" spans="1:33" s="32" customFormat="1" ht="15" customHeight="1">
      <c r="A540" s="37">
        <v>44102</v>
      </c>
      <c r="B540" s="57" t="s">
        <v>21</v>
      </c>
      <c r="C540" s="20" t="s">
        <v>47</v>
      </c>
      <c r="D540" s="20">
        <v>190</v>
      </c>
      <c r="E540" s="38">
        <v>3000</v>
      </c>
      <c r="F540" s="20" t="s">
        <v>8</v>
      </c>
      <c r="G540" s="43">
        <v>7.3</v>
      </c>
      <c r="H540" s="43">
        <v>7.8</v>
      </c>
      <c r="I540" s="43">
        <v>0</v>
      </c>
      <c r="J540" s="43">
        <v>0</v>
      </c>
      <c r="K540" s="1">
        <f t="shared" ref="K540" si="1569">(IF(F540="SELL",G540-H540,IF(F540="BUY",H540-G540)))*E540</f>
        <v>1500</v>
      </c>
      <c r="L540" s="43">
        <v>0</v>
      </c>
      <c r="M540" s="43">
        <v>0</v>
      </c>
      <c r="N540" s="1">
        <f t="shared" ref="N540" si="1570">(L540+K540+M540)/E540</f>
        <v>0.5</v>
      </c>
      <c r="O540" s="1">
        <f t="shared" ref="O540" si="1571">N540*E540</f>
        <v>1500</v>
      </c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  <c r="AD540" s="31"/>
      <c r="AE540" s="31"/>
      <c r="AF540" s="31"/>
      <c r="AG540" s="31"/>
    </row>
    <row r="541" spans="1:33" s="32" customFormat="1" ht="15" customHeight="1">
      <c r="A541" s="37">
        <v>44102</v>
      </c>
      <c r="B541" s="57" t="s">
        <v>499</v>
      </c>
      <c r="C541" s="20" t="s">
        <v>47</v>
      </c>
      <c r="D541" s="20">
        <v>280</v>
      </c>
      <c r="E541" s="38">
        <v>1800</v>
      </c>
      <c r="F541" s="20" t="s">
        <v>8</v>
      </c>
      <c r="G541" s="43">
        <v>13.5</v>
      </c>
      <c r="H541" s="43">
        <v>15.25</v>
      </c>
      <c r="I541" s="43">
        <v>16.8</v>
      </c>
      <c r="J541" s="43">
        <v>0</v>
      </c>
      <c r="K541" s="1">
        <f t="shared" ref="K541" si="1572">(IF(F541="SELL",G541-H541,IF(F541="BUY",H541-G541)))*E541</f>
        <v>3150</v>
      </c>
      <c r="L541" s="43">
        <f>E541*1.55</f>
        <v>2790</v>
      </c>
      <c r="M541" s="43">
        <v>0</v>
      </c>
      <c r="N541" s="1">
        <f t="shared" ref="N541" si="1573">(L541+K541+M541)/E541</f>
        <v>3.3</v>
      </c>
      <c r="O541" s="1">
        <f t="shared" ref="O541" si="1574">N541*E541</f>
        <v>5940</v>
      </c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1"/>
      <c r="AD541" s="31"/>
      <c r="AE541" s="31"/>
      <c r="AF541" s="31"/>
      <c r="AG541" s="31"/>
    </row>
    <row r="542" spans="1:33" s="32" customFormat="1" ht="15" customHeight="1">
      <c r="A542" s="37">
        <v>44099</v>
      </c>
      <c r="B542" s="20" t="s">
        <v>193</v>
      </c>
      <c r="C542" s="20" t="s">
        <v>47</v>
      </c>
      <c r="D542" s="20">
        <v>420</v>
      </c>
      <c r="E542" s="38">
        <v>1375</v>
      </c>
      <c r="F542" s="20" t="s">
        <v>8</v>
      </c>
      <c r="G542" s="43">
        <v>13</v>
      </c>
      <c r="H542" s="43">
        <v>11.7</v>
      </c>
      <c r="I542" s="43">
        <v>0</v>
      </c>
      <c r="J542" s="43">
        <v>0</v>
      </c>
      <c r="K542" s="1">
        <f t="shared" ref="K542" si="1575">(IF(F542="SELL",G542-H542,IF(F542="BUY",H542-G542)))*E542</f>
        <v>-1787.5000000000009</v>
      </c>
      <c r="L542" s="43">
        <v>0</v>
      </c>
      <c r="M542" s="43">
        <v>0</v>
      </c>
      <c r="N542" s="1">
        <f t="shared" ref="N542" si="1576">(L542+K542+M542)/E542</f>
        <v>-1.3000000000000007</v>
      </c>
      <c r="O542" s="1">
        <f t="shared" ref="O542" si="1577">N542*E542</f>
        <v>-1787.5000000000009</v>
      </c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  <c r="AD542" s="31"/>
      <c r="AE542" s="31"/>
      <c r="AF542" s="31"/>
      <c r="AG542" s="31"/>
    </row>
    <row r="543" spans="1:33" s="32" customFormat="1" ht="15" customHeight="1">
      <c r="A543" s="37">
        <v>44099</v>
      </c>
      <c r="B543" s="57" t="s">
        <v>391</v>
      </c>
      <c r="C543" s="20" t="s">
        <v>47</v>
      </c>
      <c r="D543" s="20">
        <v>500</v>
      </c>
      <c r="E543" s="38">
        <v>1400</v>
      </c>
      <c r="F543" s="20" t="s">
        <v>8</v>
      </c>
      <c r="G543" s="43">
        <v>20</v>
      </c>
      <c r="H543" s="43">
        <v>22</v>
      </c>
      <c r="I543" s="43">
        <v>0</v>
      </c>
      <c r="J543" s="43">
        <v>0</v>
      </c>
      <c r="K543" s="1">
        <f t="shared" ref="K543" si="1578">(IF(F543="SELL",G543-H543,IF(F543="BUY",H543-G543)))*E543</f>
        <v>2800</v>
      </c>
      <c r="L543" s="43">
        <v>0</v>
      </c>
      <c r="M543" s="43">
        <v>0</v>
      </c>
      <c r="N543" s="1">
        <f t="shared" ref="N543" si="1579">(L543+K543+M543)/E543</f>
        <v>2</v>
      </c>
      <c r="O543" s="1">
        <f t="shared" ref="O543" si="1580">N543*E543</f>
        <v>2800</v>
      </c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1"/>
      <c r="AD543" s="31"/>
      <c r="AE543" s="31"/>
      <c r="AF543" s="31"/>
      <c r="AG543" s="31"/>
    </row>
    <row r="544" spans="1:33" s="32" customFormat="1" ht="15" customHeight="1">
      <c r="A544" s="37">
        <v>44098</v>
      </c>
      <c r="B544" s="57" t="s">
        <v>499</v>
      </c>
      <c r="C544" s="20" t="s">
        <v>46</v>
      </c>
      <c r="D544" s="20">
        <v>260</v>
      </c>
      <c r="E544" s="38">
        <v>1800</v>
      </c>
      <c r="F544" s="20" t="s">
        <v>8</v>
      </c>
      <c r="G544" s="43">
        <v>17</v>
      </c>
      <c r="H544" s="43">
        <v>19</v>
      </c>
      <c r="I544" s="43">
        <v>20.5</v>
      </c>
      <c r="J544" s="43">
        <v>0</v>
      </c>
      <c r="K544" s="1">
        <f t="shared" ref="K544:K546" si="1581">(IF(F544="SELL",G544-H544,IF(F544="BUY",H544-G544)))*E544</f>
        <v>3600</v>
      </c>
      <c r="L544" s="43">
        <f>E544*1.5</f>
        <v>2700</v>
      </c>
      <c r="M544" s="43">
        <v>0</v>
      </c>
      <c r="N544" s="1">
        <f t="shared" ref="N544:N607" si="1582">(L544+K544+M544)/E544</f>
        <v>3.5</v>
      </c>
      <c r="O544" s="1">
        <f t="shared" ref="O544:O607" si="1583">N544*E544</f>
        <v>6300</v>
      </c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1"/>
      <c r="AD544" s="31"/>
      <c r="AE544" s="31"/>
      <c r="AF544" s="31"/>
      <c r="AG544" s="31"/>
    </row>
    <row r="545" spans="1:33" s="32" customFormat="1" ht="15" customHeight="1">
      <c r="A545" s="37">
        <v>44098</v>
      </c>
      <c r="B545" s="57" t="s">
        <v>21</v>
      </c>
      <c r="C545" s="20" t="s">
        <v>46</v>
      </c>
      <c r="D545" s="20">
        <v>180</v>
      </c>
      <c r="E545" s="38">
        <v>3000</v>
      </c>
      <c r="F545" s="20" t="s">
        <v>8</v>
      </c>
      <c r="G545" s="43">
        <v>10</v>
      </c>
      <c r="H545" s="43">
        <v>11</v>
      </c>
      <c r="I545" s="43">
        <v>12</v>
      </c>
      <c r="J545" s="43">
        <v>0</v>
      </c>
      <c r="K545" s="1">
        <f t="shared" si="1581"/>
        <v>3000</v>
      </c>
      <c r="L545" s="43">
        <f>E545*1</f>
        <v>3000</v>
      </c>
      <c r="M545" s="43">
        <v>0</v>
      </c>
      <c r="N545" s="1">
        <f t="shared" si="1582"/>
        <v>2</v>
      </c>
      <c r="O545" s="1">
        <f t="shared" si="1583"/>
        <v>6000</v>
      </c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1"/>
      <c r="AD545" s="31"/>
      <c r="AE545" s="31"/>
      <c r="AF545" s="31"/>
      <c r="AG545" s="31"/>
    </row>
    <row r="546" spans="1:33" s="32" customFormat="1" ht="15" customHeight="1">
      <c r="A546" s="37">
        <v>44098</v>
      </c>
      <c r="B546" s="57" t="s">
        <v>62</v>
      </c>
      <c r="C546" s="20" t="s">
        <v>46</v>
      </c>
      <c r="D546" s="20">
        <v>85</v>
      </c>
      <c r="E546" s="38">
        <v>6200</v>
      </c>
      <c r="F546" s="20" t="s">
        <v>8</v>
      </c>
      <c r="G546" s="43">
        <v>4.5</v>
      </c>
      <c r="H546" s="43">
        <v>5</v>
      </c>
      <c r="I546" s="43">
        <v>5.55</v>
      </c>
      <c r="J546" s="43">
        <v>0</v>
      </c>
      <c r="K546" s="1">
        <f t="shared" si="1581"/>
        <v>3100</v>
      </c>
      <c r="L546" s="43">
        <f>E546*0.55</f>
        <v>3410.0000000000005</v>
      </c>
      <c r="M546" s="43">
        <v>0</v>
      </c>
      <c r="N546" s="1">
        <f t="shared" si="1582"/>
        <v>1.05</v>
      </c>
      <c r="O546" s="1">
        <f t="shared" si="1583"/>
        <v>6510</v>
      </c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  <c r="AD546" s="31"/>
      <c r="AE546" s="31"/>
      <c r="AF546" s="31"/>
      <c r="AG546" s="31"/>
    </row>
    <row r="547" spans="1:33" s="32" customFormat="1" ht="15" customHeight="1">
      <c r="A547" s="37">
        <v>44097</v>
      </c>
      <c r="B547" s="57" t="s">
        <v>28</v>
      </c>
      <c r="C547" s="20" t="s">
        <v>46</v>
      </c>
      <c r="D547" s="20">
        <v>430</v>
      </c>
      <c r="E547" s="38">
        <v>1851</v>
      </c>
      <c r="F547" s="20" t="s">
        <v>8</v>
      </c>
      <c r="G547" s="43">
        <v>3.5</v>
      </c>
      <c r="H547" s="43">
        <v>5.25</v>
      </c>
      <c r="I547" s="43">
        <v>7.5</v>
      </c>
      <c r="J547" s="43">
        <v>0</v>
      </c>
      <c r="K547" s="1">
        <f t="shared" ref="K547" si="1584">(IF(F547="SELL",G547-H547,IF(F547="BUY",H547-G547)))*E547</f>
        <v>3239.25</v>
      </c>
      <c r="L547" s="43">
        <f>E547*2.25</f>
        <v>4164.75</v>
      </c>
      <c r="M547" s="43">
        <v>0</v>
      </c>
      <c r="N547" s="1">
        <f t="shared" si="1582"/>
        <v>4</v>
      </c>
      <c r="O547" s="1">
        <f t="shared" si="1583"/>
        <v>7404</v>
      </c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  <c r="AD547" s="31"/>
      <c r="AE547" s="31"/>
      <c r="AF547" s="31"/>
      <c r="AG547" s="31"/>
    </row>
    <row r="548" spans="1:33" s="32" customFormat="1" ht="15" customHeight="1">
      <c r="A548" s="37">
        <v>44097</v>
      </c>
      <c r="B548" s="57" t="s">
        <v>63</v>
      </c>
      <c r="C548" s="20" t="s">
        <v>46</v>
      </c>
      <c r="D548" s="20">
        <v>180</v>
      </c>
      <c r="E548" s="38">
        <v>2700</v>
      </c>
      <c r="F548" s="20" t="s">
        <v>8</v>
      </c>
      <c r="G548" s="43">
        <v>2</v>
      </c>
      <c r="H548" s="43">
        <v>3</v>
      </c>
      <c r="I548" s="43">
        <v>4.5</v>
      </c>
      <c r="J548" s="43">
        <v>0</v>
      </c>
      <c r="K548" s="1">
        <f t="shared" ref="K548:K549" si="1585">(IF(F548="SELL",G548-H548,IF(F548="BUY",H548-G548)))*E548</f>
        <v>2700</v>
      </c>
      <c r="L548" s="43">
        <f>E548*1.5</f>
        <v>4050</v>
      </c>
      <c r="M548" s="43">
        <v>0</v>
      </c>
      <c r="N548" s="1">
        <f t="shared" si="1582"/>
        <v>2.5</v>
      </c>
      <c r="O548" s="1">
        <f t="shared" si="1583"/>
        <v>6750</v>
      </c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  <c r="AD548" s="31"/>
      <c r="AE548" s="31"/>
      <c r="AF548" s="31"/>
      <c r="AG548" s="31"/>
    </row>
    <row r="549" spans="1:33" s="32" customFormat="1" ht="15" customHeight="1">
      <c r="A549" s="37">
        <v>44097</v>
      </c>
      <c r="B549" s="57" t="s">
        <v>420</v>
      </c>
      <c r="C549" s="20" t="s">
        <v>47</v>
      </c>
      <c r="D549" s="20">
        <v>2000</v>
      </c>
      <c r="E549" s="38">
        <v>300</v>
      </c>
      <c r="F549" s="20" t="s">
        <v>8</v>
      </c>
      <c r="G549" s="43">
        <v>7.8</v>
      </c>
      <c r="H549" s="43">
        <v>13</v>
      </c>
      <c r="I549" s="43">
        <v>0</v>
      </c>
      <c r="J549" s="43">
        <v>0</v>
      </c>
      <c r="K549" s="1">
        <f t="shared" si="1585"/>
        <v>1560</v>
      </c>
      <c r="L549" s="43">
        <v>0</v>
      </c>
      <c r="M549" s="43">
        <v>0</v>
      </c>
      <c r="N549" s="1">
        <f t="shared" si="1582"/>
        <v>5.2</v>
      </c>
      <c r="O549" s="1">
        <f t="shared" si="1583"/>
        <v>1560</v>
      </c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1"/>
      <c r="AD549" s="31"/>
      <c r="AE549" s="31"/>
      <c r="AF549" s="31"/>
      <c r="AG549" s="31"/>
    </row>
    <row r="550" spans="1:33" s="32" customFormat="1" ht="15" customHeight="1">
      <c r="A550" s="37">
        <v>44096</v>
      </c>
      <c r="B550" s="20" t="s">
        <v>17</v>
      </c>
      <c r="C550" s="20" t="s">
        <v>47</v>
      </c>
      <c r="D550" s="20">
        <v>420</v>
      </c>
      <c r="E550" s="38">
        <v>1200</v>
      </c>
      <c r="F550" s="20" t="s">
        <v>8</v>
      </c>
      <c r="G550" s="43">
        <v>8.5</v>
      </c>
      <c r="H550" s="43">
        <v>6</v>
      </c>
      <c r="I550" s="43">
        <v>0</v>
      </c>
      <c r="J550" s="43">
        <v>0</v>
      </c>
      <c r="K550" s="1">
        <f t="shared" ref="K550:K551" si="1586">(IF(F550="SELL",G550-H550,IF(F550="BUY",H550-G550)))*E550</f>
        <v>-3000</v>
      </c>
      <c r="L550" s="43">
        <v>0</v>
      </c>
      <c r="M550" s="43">
        <v>0</v>
      </c>
      <c r="N550" s="1">
        <f t="shared" si="1582"/>
        <v>-2.5</v>
      </c>
      <c r="O550" s="1">
        <f t="shared" si="1583"/>
        <v>-3000</v>
      </c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1"/>
      <c r="AD550" s="31"/>
      <c r="AE550" s="31"/>
      <c r="AF550" s="31"/>
      <c r="AG550" s="31"/>
    </row>
    <row r="551" spans="1:33" s="32" customFormat="1" ht="15" customHeight="1">
      <c r="A551" s="37">
        <v>44096</v>
      </c>
      <c r="B551" s="57" t="s">
        <v>391</v>
      </c>
      <c r="C551" s="20" t="s">
        <v>47</v>
      </c>
      <c r="D551" s="20">
        <v>520</v>
      </c>
      <c r="E551" s="38">
        <v>1400</v>
      </c>
      <c r="F551" s="20" t="s">
        <v>8</v>
      </c>
      <c r="G551" s="43">
        <v>4.25</v>
      </c>
      <c r="H551" s="43">
        <v>6.1</v>
      </c>
      <c r="I551" s="43">
        <v>0</v>
      </c>
      <c r="J551" s="43">
        <v>0</v>
      </c>
      <c r="K551" s="1">
        <f t="shared" si="1586"/>
        <v>2589.9999999999995</v>
      </c>
      <c r="L551" s="43">
        <v>0</v>
      </c>
      <c r="M551" s="43">
        <v>0</v>
      </c>
      <c r="N551" s="1">
        <f t="shared" si="1582"/>
        <v>1.8499999999999996</v>
      </c>
      <c r="O551" s="1">
        <f t="shared" si="1583"/>
        <v>2589.9999999999995</v>
      </c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  <c r="AC551" s="31"/>
      <c r="AD551" s="31"/>
      <c r="AE551" s="31"/>
      <c r="AF551" s="31"/>
      <c r="AG551" s="31"/>
    </row>
    <row r="552" spans="1:33" s="32" customFormat="1" ht="15" customHeight="1">
      <c r="A552" s="37">
        <v>44095</v>
      </c>
      <c r="B552" s="20" t="s">
        <v>10</v>
      </c>
      <c r="C552" s="20" t="s">
        <v>47</v>
      </c>
      <c r="D552" s="20">
        <v>700</v>
      </c>
      <c r="E552" s="38">
        <v>1000</v>
      </c>
      <c r="F552" s="20" t="s">
        <v>8</v>
      </c>
      <c r="G552" s="43">
        <v>4.5</v>
      </c>
      <c r="H552" s="43">
        <v>3.1</v>
      </c>
      <c r="I552" s="43">
        <v>0</v>
      </c>
      <c r="J552" s="43">
        <v>0</v>
      </c>
      <c r="K552" s="1">
        <f t="shared" ref="K552" si="1587">(IF(F552="SELL",G552-H552,IF(F552="BUY",H552-G552)))*E552</f>
        <v>-1400</v>
      </c>
      <c r="L552" s="43">
        <v>0</v>
      </c>
      <c r="M552" s="43">
        <v>0</v>
      </c>
      <c r="N552" s="1">
        <f t="shared" si="1582"/>
        <v>-1.4</v>
      </c>
      <c r="O552" s="1">
        <f t="shared" si="1583"/>
        <v>-1400</v>
      </c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1"/>
      <c r="AD552" s="31"/>
      <c r="AE552" s="31"/>
      <c r="AF552" s="31"/>
      <c r="AG552" s="31"/>
    </row>
    <row r="553" spans="1:33" s="32" customFormat="1" ht="15" customHeight="1">
      <c r="A553" s="37">
        <v>44095</v>
      </c>
      <c r="B553" s="57" t="s">
        <v>357</v>
      </c>
      <c r="C553" s="20" t="s">
        <v>47</v>
      </c>
      <c r="D553" s="20">
        <v>1340</v>
      </c>
      <c r="E553" s="38">
        <v>800</v>
      </c>
      <c r="F553" s="20" t="s">
        <v>8</v>
      </c>
      <c r="G553" s="43">
        <v>13</v>
      </c>
      <c r="H553" s="43">
        <v>17</v>
      </c>
      <c r="I553" s="43">
        <v>0</v>
      </c>
      <c r="J553" s="43">
        <v>0</v>
      </c>
      <c r="K553" s="1">
        <f t="shared" ref="K553" si="1588">(IF(F553="SELL",G553-H553,IF(F553="BUY",H553-G553)))*E553</f>
        <v>3200</v>
      </c>
      <c r="L553" s="43">
        <v>0</v>
      </c>
      <c r="M553" s="43">
        <v>0</v>
      </c>
      <c r="N553" s="1">
        <f t="shared" si="1582"/>
        <v>4</v>
      </c>
      <c r="O553" s="1">
        <f t="shared" si="1583"/>
        <v>3200</v>
      </c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1"/>
      <c r="AD553" s="31"/>
      <c r="AE553" s="31"/>
      <c r="AF553" s="31"/>
      <c r="AG553" s="31"/>
    </row>
    <row r="554" spans="1:33" s="32" customFormat="1" ht="15" customHeight="1">
      <c r="A554" s="37">
        <v>44092</v>
      </c>
      <c r="B554" s="57" t="s">
        <v>72</v>
      </c>
      <c r="C554" s="20" t="s">
        <v>46</v>
      </c>
      <c r="D554" s="20">
        <v>420</v>
      </c>
      <c r="E554" s="38">
        <v>1800</v>
      </c>
      <c r="F554" s="20" t="s">
        <v>8</v>
      </c>
      <c r="G554" s="43">
        <v>9.5</v>
      </c>
      <c r="H554" s="43">
        <v>11.25</v>
      </c>
      <c r="I554" s="43">
        <v>13.4</v>
      </c>
      <c r="J554" s="43">
        <v>0</v>
      </c>
      <c r="K554" s="1">
        <f t="shared" ref="K554:K555" si="1589">(IF(F554="SELL",G554-H554,IF(F554="BUY",H554-G554)))*E554</f>
        <v>3150</v>
      </c>
      <c r="L554" s="43">
        <f>E554*2.15</f>
        <v>3870</v>
      </c>
      <c r="M554" s="43">
        <v>0</v>
      </c>
      <c r="N554" s="1">
        <f t="shared" si="1582"/>
        <v>3.9</v>
      </c>
      <c r="O554" s="1">
        <f t="shared" si="1583"/>
        <v>7020</v>
      </c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  <c r="AC554" s="31"/>
      <c r="AD554" s="31"/>
      <c r="AE554" s="31"/>
      <c r="AF554" s="31"/>
      <c r="AG554" s="31"/>
    </row>
    <row r="555" spans="1:33" s="32" customFormat="1" ht="15" customHeight="1">
      <c r="A555" s="37">
        <v>44092</v>
      </c>
      <c r="B555" s="20" t="s">
        <v>69</v>
      </c>
      <c r="C555" s="20" t="s">
        <v>47</v>
      </c>
      <c r="D555" s="20">
        <v>125</v>
      </c>
      <c r="E555" s="38">
        <v>7000</v>
      </c>
      <c r="F555" s="20" t="s">
        <v>8</v>
      </c>
      <c r="G555" s="43">
        <v>4.1500000000000004</v>
      </c>
      <c r="H555" s="43">
        <v>3.45</v>
      </c>
      <c r="I555" s="43">
        <v>0</v>
      </c>
      <c r="J555" s="43">
        <v>0</v>
      </c>
      <c r="K555" s="1">
        <f t="shared" si="1589"/>
        <v>-4900.0000000000009</v>
      </c>
      <c r="L555" s="43">
        <v>0</v>
      </c>
      <c r="M555" s="43">
        <v>0</v>
      </c>
      <c r="N555" s="1">
        <f t="shared" si="1582"/>
        <v>-0.70000000000000018</v>
      </c>
      <c r="O555" s="1">
        <f t="shared" si="1583"/>
        <v>-4900.0000000000009</v>
      </c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1"/>
      <c r="AD555" s="31"/>
      <c r="AE555" s="31"/>
      <c r="AF555" s="31"/>
      <c r="AG555" s="31"/>
    </row>
    <row r="556" spans="1:33" s="32" customFormat="1" ht="15" customHeight="1">
      <c r="A556" s="37">
        <v>44092</v>
      </c>
      <c r="B556" s="57" t="s">
        <v>71</v>
      </c>
      <c r="C556" s="20" t="s">
        <v>47</v>
      </c>
      <c r="D556" s="20">
        <v>290</v>
      </c>
      <c r="E556" s="38">
        <v>3200</v>
      </c>
      <c r="F556" s="20" t="s">
        <v>8</v>
      </c>
      <c r="G556" s="43">
        <v>6</v>
      </c>
      <c r="H556" s="43">
        <v>7.2</v>
      </c>
      <c r="I556" s="43">
        <v>8.8000000000000007</v>
      </c>
      <c r="J556" s="43">
        <v>0</v>
      </c>
      <c r="K556" s="1">
        <f t="shared" ref="K556" si="1590">(IF(F556="SELL",G556-H556,IF(F556="BUY",H556-G556)))*E556</f>
        <v>3840.0000000000005</v>
      </c>
      <c r="L556" s="43">
        <f>E556*1.6</f>
        <v>5120</v>
      </c>
      <c r="M556" s="43">
        <v>0</v>
      </c>
      <c r="N556" s="1">
        <f t="shared" si="1582"/>
        <v>2.8</v>
      </c>
      <c r="O556" s="1">
        <f t="shared" si="1583"/>
        <v>8960</v>
      </c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1"/>
      <c r="AD556" s="31"/>
      <c r="AE556" s="31"/>
      <c r="AF556" s="31"/>
      <c r="AG556" s="31"/>
    </row>
    <row r="557" spans="1:33" s="32" customFormat="1" ht="15" customHeight="1">
      <c r="A557" s="37">
        <v>44091</v>
      </c>
      <c r="B557" s="57" t="s">
        <v>24</v>
      </c>
      <c r="C557" s="20" t="s">
        <v>46</v>
      </c>
      <c r="D557" s="20">
        <v>145</v>
      </c>
      <c r="E557" s="38">
        <v>5700</v>
      </c>
      <c r="F557" s="20" t="s">
        <v>8</v>
      </c>
      <c r="G557" s="43">
        <v>3.6</v>
      </c>
      <c r="H557" s="43">
        <v>4.1500000000000004</v>
      </c>
      <c r="I557" s="43">
        <v>0</v>
      </c>
      <c r="J557" s="43">
        <v>0</v>
      </c>
      <c r="K557" s="1">
        <f t="shared" ref="K557:K558" si="1591">(IF(F557="SELL",G557-H557,IF(F557="BUY",H557-G557)))*E557</f>
        <v>3135.0000000000014</v>
      </c>
      <c r="L557" s="43">
        <v>0</v>
      </c>
      <c r="M557" s="43">
        <v>0</v>
      </c>
      <c r="N557" s="1">
        <f t="shared" si="1582"/>
        <v>0.55000000000000027</v>
      </c>
      <c r="O557" s="1">
        <f t="shared" si="1583"/>
        <v>3135.0000000000014</v>
      </c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1"/>
      <c r="AD557" s="31"/>
      <c r="AE557" s="31"/>
      <c r="AF557" s="31"/>
      <c r="AG557" s="31"/>
    </row>
    <row r="558" spans="1:33" s="32" customFormat="1" ht="15" customHeight="1">
      <c r="A558" s="37">
        <v>44091</v>
      </c>
      <c r="B558" s="20" t="s">
        <v>131</v>
      </c>
      <c r="C558" s="20" t="s">
        <v>47</v>
      </c>
      <c r="D558" s="20">
        <v>225</v>
      </c>
      <c r="E558" s="38">
        <v>3000</v>
      </c>
      <c r="F558" s="20" t="s">
        <v>8</v>
      </c>
      <c r="G558" s="43">
        <v>4.25</v>
      </c>
      <c r="H558" s="43">
        <v>3.35</v>
      </c>
      <c r="I558" s="43">
        <v>0</v>
      </c>
      <c r="J558" s="43">
        <v>0</v>
      </c>
      <c r="K558" s="1">
        <f t="shared" si="1591"/>
        <v>-2699.9999999999995</v>
      </c>
      <c r="L558" s="43">
        <v>0</v>
      </c>
      <c r="M558" s="43">
        <v>0</v>
      </c>
      <c r="N558" s="1">
        <f t="shared" si="1582"/>
        <v>-0.8999999999999998</v>
      </c>
      <c r="O558" s="1">
        <f t="shared" si="1583"/>
        <v>-2699.9999999999995</v>
      </c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1"/>
      <c r="AD558" s="31"/>
      <c r="AE558" s="31"/>
      <c r="AF558" s="31"/>
      <c r="AG558" s="31"/>
    </row>
    <row r="559" spans="1:33" s="32" customFormat="1" ht="15" customHeight="1">
      <c r="A559" s="37">
        <v>44091</v>
      </c>
      <c r="B559" s="57" t="s">
        <v>72</v>
      </c>
      <c r="C559" s="20" t="s">
        <v>47</v>
      </c>
      <c r="D559" s="20">
        <v>420</v>
      </c>
      <c r="E559" s="38">
        <v>1800</v>
      </c>
      <c r="F559" s="20" t="s">
        <v>8</v>
      </c>
      <c r="G559" s="43">
        <v>11</v>
      </c>
      <c r="H559" s="43">
        <v>12.9</v>
      </c>
      <c r="I559" s="43">
        <v>0</v>
      </c>
      <c r="J559" s="43">
        <v>0</v>
      </c>
      <c r="K559" s="1">
        <f t="shared" ref="K559" si="1592">(IF(F559="SELL",G559-H559,IF(F559="BUY",H559-G559)))*E559</f>
        <v>3420.0000000000005</v>
      </c>
      <c r="L559" s="43">
        <v>0</v>
      </c>
      <c r="M559" s="43">
        <v>0</v>
      </c>
      <c r="N559" s="1">
        <f t="shared" si="1582"/>
        <v>1.9000000000000004</v>
      </c>
      <c r="O559" s="1">
        <f t="shared" si="1583"/>
        <v>3420.0000000000005</v>
      </c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1"/>
      <c r="AD559" s="31"/>
      <c r="AE559" s="31"/>
      <c r="AF559" s="31"/>
      <c r="AG559" s="31"/>
    </row>
    <row r="560" spans="1:33" s="32" customFormat="1" ht="15" customHeight="1">
      <c r="A560" s="37">
        <v>44090</v>
      </c>
      <c r="B560" s="20" t="s">
        <v>22</v>
      </c>
      <c r="C560" s="20" t="s">
        <v>47</v>
      </c>
      <c r="D560" s="20">
        <v>160</v>
      </c>
      <c r="E560" s="38">
        <v>3300</v>
      </c>
      <c r="F560" s="20" t="s">
        <v>8</v>
      </c>
      <c r="G560" s="43">
        <v>4.75</v>
      </c>
      <c r="H560" s="43">
        <v>3.95</v>
      </c>
      <c r="I560" s="43">
        <v>0</v>
      </c>
      <c r="J560" s="43">
        <v>0</v>
      </c>
      <c r="K560" s="1">
        <f t="shared" ref="K560:K561" si="1593">(IF(F560="SELL",G560-H560,IF(F560="BUY",H560-G560)))*E560</f>
        <v>-2639.9999999999995</v>
      </c>
      <c r="L560" s="43">
        <v>0</v>
      </c>
      <c r="M560" s="43">
        <v>0</v>
      </c>
      <c r="N560" s="1">
        <f t="shared" si="1582"/>
        <v>-0.79999999999999982</v>
      </c>
      <c r="O560" s="1">
        <f t="shared" si="1583"/>
        <v>-2639.9999999999995</v>
      </c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1"/>
      <c r="AD560" s="31"/>
      <c r="AE560" s="31"/>
      <c r="AF560" s="31"/>
      <c r="AG560" s="31"/>
    </row>
    <row r="561" spans="1:33" s="32" customFormat="1" ht="15" customHeight="1">
      <c r="A561" s="37">
        <v>44090</v>
      </c>
      <c r="B561" s="57" t="s">
        <v>109</v>
      </c>
      <c r="C561" s="20" t="s">
        <v>47</v>
      </c>
      <c r="D561" s="20">
        <v>310</v>
      </c>
      <c r="E561" s="38">
        <v>3200</v>
      </c>
      <c r="F561" s="20" t="s">
        <v>8</v>
      </c>
      <c r="G561" s="43">
        <v>6.6</v>
      </c>
      <c r="H561" s="43">
        <v>7.5</v>
      </c>
      <c r="I561" s="43">
        <v>9</v>
      </c>
      <c r="J561" s="43">
        <v>0</v>
      </c>
      <c r="K561" s="1">
        <f t="shared" si="1593"/>
        <v>2880.0000000000009</v>
      </c>
      <c r="L561" s="43">
        <f>E561*1.5</f>
        <v>4800</v>
      </c>
      <c r="M561" s="43">
        <v>0</v>
      </c>
      <c r="N561" s="1">
        <f t="shared" si="1582"/>
        <v>2.4000000000000004</v>
      </c>
      <c r="O561" s="1">
        <f t="shared" si="1583"/>
        <v>7680.0000000000009</v>
      </c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  <c r="AC561" s="31"/>
      <c r="AD561" s="31"/>
      <c r="AE561" s="31"/>
      <c r="AF561" s="31"/>
      <c r="AG561" s="31"/>
    </row>
    <row r="562" spans="1:33" s="32" customFormat="1" ht="15" customHeight="1">
      <c r="A562" s="37">
        <v>44090</v>
      </c>
      <c r="B562" s="20" t="s">
        <v>398</v>
      </c>
      <c r="C562" s="20" t="s">
        <v>46</v>
      </c>
      <c r="D562" s="20">
        <v>200</v>
      </c>
      <c r="E562" s="38">
        <v>2800</v>
      </c>
      <c r="F562" s="20" t="s">
        <v>8</v>
      </c>
      <c r="G562" s="43">
        <v>6.5</v>
      </c>
      <c r="H562" s="43">
        <v>6.15</v>
      </c>
      <c r="I562" s="43">
        <v>0</v>
      </c>
      <c r="J562" s="43">
        <v>0</v>
      </c>
      <c r="K562" s="1">
        <f t="shared" ref="K562" si="1594">(IF(F562="SELL",G562-H562,IF(F562="BUY",H562-G562)))*E562</f>
        <v>-979.99999999999898</v>
      </c>
      <c r="L562" s="43">
        <v>0</v>
      </c>
      <c r="M562" s="43">
        <v>0</v>
      </c>
      <c r="N562" s="1">
        <f t="shared" si="1582"/>
        <v>-0.34999999999999964</v>
      </c>
      <c r="O562" s="1">
        <f t="shared" si="1583"/>
        <v>-979.99999999999898</v>
      </c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1"/>
      <c r="AD562" s="31"/>
      <c r="AE562" s="31"/>
      <c r="AF562" s="31"/>
      <c r="AG562" s="31"/>
    </row>
    <row r="563" spans="1:33" s="32" customFormat="1" ht="15" customHeight="1">
      <c r="A563" s="37">
        <v>44089</v>
      </c>
      <c r="B563" s="57" t="s">
        <v>24</v>
      </c>
      <c r="C563" s="20" t="s">
        <v>47</v>
      </c>
      <c r="D563" s="20">
        <v>150</v>
      </c>
      <c r="E563" s="38">
        <v>5700</v>
      </c>
      <c r="F563" s="20" t="s">
        <v>8</v>
      </c>
      <c r="G563" s="43">
        <v>5.4</v>
      </c>
      <c r="H563" s="43">
        <v>6</v>
      </c>
      <c r="I563" s="43">
        <v>0</v>
      </c>
      <c r="J563" s="43">
        <v>0</v>
      </c>
      <c r="K563" s="1">
        <f t="shared" ref="K563" si="1595">(IF(F563="SELL",G563-H563,IF(F563="BUY",H563-G563)))*E563</f>
        <v>3419.9999999999982</v>
      </c>
      <c r="L563" s="43">
        <v>0</v>
      </c>
      <c r="M563" s="43">
        <v>0</v>
      </c>
      <c r="N563" s="1">
        <f t="shared" si="1582"/>
        <v>0.59999999999999964</v>
      </c>
      <c r="O563" s="1">
        <f t="shared" si="1583"/>
        <v>3419.9999999999982</v>
      </c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1"/>
      <c r="AD563" s="31"/>
      <c r="AE563" s="31"/>
      <c r="AF563" s="31"/>
      <c r="AG563" s="31"/>
    </row>
    <row r="564" spans="1:33" s="32" customFormat="1" ht="15" customHeight="1">
      <c r="A564" s="37">
        <v>44089</v>
      </c>
      <c r="B564" s="57" t="s">
        <v>72</v>
      </c>
      <c r="C564" s="20" t="s">
        <v>47</v>
      </c>
      <c r="D564" s="20">
        <v>430</v>
      </c>
      <c r="E564" s="38">
        <v>1800</v>
      </c>
      <c r="F564" s="20" t="s">
        <v>8</v>
      </c>
      <c r="G564" s="43">
        <v>12.25</v>
      </c>
      <c r="H564" s="43">
        <v>13.95</v>
      </c>
      <c r="I564" s="43">
        <v>0</v>
      </c>
      <c r="J564" s="43">
        <v>0</v>
      </c>
      <c r="K564" s="1">
        <f t="shared" ref="K564:K565" si="1596">(IF(F564="SELL",G564-H564,IF(F564="BUY",H564-G564)))*E564</f>
        <v>3059.9999999999986</v>
      </c>
      <c r="L564" s="43">
        <v>0</v>
      </c>
      <c r="M564" s="43">
        <v>0</v>
      </c>
      <c r="N564" s="1">
        <f t="shared" si="1582"/>
        <v>1.6999999999999993</v>
      </c>
      <c r="O564" s="1">
        <f t="shared" si="1583"/>
        <v>3059.9999999999986</v>
      </c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1"/>
      <c r="AD564" s="31"/>
      <c r="AE564" s="31"/>
      <c r="AF564" s="31"/>
      <c r="AG564" s="31"/>
    </row>
    <row r="565" spans="1:33" s="32" customFormat="1" ht="15" customHeight="1">
      <c r="A565" s="37">
        <v>44089</v>
      </c>
      <c r="B565" s="57" t="s">
        <v>193</v>
      </c>
      <c r="C565" s="20" t="s">
        <v>47</v>
      </c>
      <c r="D565" s="20">
        <v>420</v>
      </c>
      <c r="E565" s="38">
        <v>1375</v>
      </c>
      <c r="F565" s="20" t="s">
        <v>8</v>
      </c>
      <c r="G565" s="43">
        <v>9</v>
      </c>
      <c r="H565" s="43">
        <v>11</v>
      </c>
      <c r="I565" s="43">
        <v>0</v>
      </c>
      <c r="J565" s="43">
        <v>0</v>
      </c>
      <c r="K565" s="1">
        <f t="shared" si="1596"/>
        <v>2750</v>
      </c>
      <c r="L565" s="43">
        <v>0</v>
      </c>
      <c r="M565" s="43">
        <v>0</v>
      </c>
      <c r="N565" s="1">
        <f t="shared" si="1582"/>
        <v>2</v>
      </c>
      <c r="O565" s="1">
        <f t="shared" si="1583"/>
        <v>2750</v>
      </c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1"/>
      <c r="AD565" s="31"/>
      <c r="AE565" s="31"/>
      <c r="AF565" s="31"/>
      <c r="AG565" s="31"/>
    </row>
    <row r="566" spans="1:33" s="32" customFormat="1" ht="15" customHeight="1">
      <c r="A566" s="37">
        <v>44088</v>
      </c>
      <c r="B566" s="20" t="s">
        <v>498</v>
      </c>
      <c r="C566" s="20" t="s">
        <v>47</v>
      </c>
      <c r="D566" s="20">
        <v>450</v>
      </c>
      <c r="E566" s="38">
        <v>1500</v>
      </c>
      <c r="F566" s="20" t="s">
        <v>8</v>
      </c>
      <c r="G566" s="43">
        <v>11.5</v>
      </c>
      <c r="H566" s="43">
        <v>10.75</v>
      </c>
      <c r="I566" s="43">
        <v>0</v>
      </c>
      <c r="J566" s="43">
        <v>0</v>
      </c>
      <c r="K566" s="1">
        <f t="shared" ref="K566:K567" si="1597">(IF(F566="SELL",G566-H566,IF(F566="BUY",H566-G566)))*E566</f>
        <v>-1125</v>
      </c>
      <c r="L566" s="43">
        <v>0</v>
      </c>
      <c r="M566" s="43">
        <v>0</v>
      </c>
      <c r="N566" s="1">
        <f t="shared" si="1582"/>
        <v>-0.75</v>
      </c>
      <c r="O566" s="1">
        <f t="shared" si="1583"/>
        <v>-1125</v>
      </c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1"/>
      <c r="AD566" s="31"/>
      <c r="AE566" s="31"/>
      <c r="AF566" s="31"/>
      <c r="AG566" s="31"/>
    </row>
    <row r="567" spans="1:33" s="32" customFormat="1" ht="15" customHeight="1">
      <c r="A567" s="37">
        <v>44088</v>
      </c>
      <c r="B567" s="20" t="s">
        <v>22</v>
      </c>
      <c r="C567" s="20" t="s">
        <v>47</v>
      </c>
      <c r="D567" s="20">
        <v>160</v>
      </c>
      <c r="E567" s="38">
        <v>3300</v>
      </c>
      <c r="F567" s="20" t="s">
        <v>8</v>
      </c>
      <c r="G567" s="43">
        <v>5.5</v>
      </c>
      <c r="H567" s="43">
        <v>4.45</v>
      </c>
      <c r="I567" s="43">
        <v>0</v>
      </c>
      <c r="J567" s="43">
        <v>0</v>
      </c>
      <c r="K567" s="1">
        <f t="shared" si="1597"/>
        <v>-3464.9999999999995</v>
      </c>
      <c r="L567" s="43">
        <v>0</v>
      </c>
      <c r="M567" s="43">
        <v>0</v>
      </c>
      <c r="N567" s="1">
        <f t="shared" si="1582"/>
        <v>-1.0499999999999998</v>
      </c>
      <c r="O567" s="1">
        <f t="shared" si="1583"/>
        <v>-3464.9999999999995</v>
      </c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1"/>
      <c r="AD567" s="31"/>
      <c r="AE567" s="31"/>
      <c r="AF567" s="31"/>
      <c r="AG567" s="31"/>
    </row>
    <row r="568" spans="1:33" s="32" customFormat="1" ht="15" customHeight="1">
      <c r="A568" s="37">
        <v>44088</v>
      </c>
      <c r="B568" s="57" t="s">
        <v>109</v>
      </c>
      <c r="C568" s="20" t="s">
        <v>47</v>
      </c>
      <c r="D568" s="20">
        <v>300</v>
      </c>
      <c r="E568" s="38">
        <v>3200</v>
      </c>
      <c r="F568" s="20" t="s">
        <v>8</v>
      </c>
      <c r="G568" s="43">
        <v>7.5</v>
      </c>
      <c r="H568" s="43">
        <v>8.5</v>
      </c>
      <c r="I568" s="43">
        <v>10</v>
      </c>
      <c r="J568" s="43">
        <v>0</v>
      </c>
      <c r="K568" s="1">
        <f t="shared" ref="K568" si="1598">(IF(F568="SELL",G568-H568,IF(F568="BUY",H568-G568)))*E568</f>
        <v>3200</v>
      </c>
      <c r="L568" s="43">
        <f>E568*1.5</f>
        <v>4800</v>
      </c>
      <c r="M568" s="43">
        <v>0</v>
      </c>
      <c r="N568" s="1">
        <f t="shared" si="1582"/>
        <v>2.5</v>
      </c>
      <c r="O568" s="1">
        <f t="shared" si="1583"/>
        <v>8000</v>
      </c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  <c r="AA568" s="31"/>
      <c r="AB568" s="31"/>
      <c r="AC568" s="31"/>
      <c r="AD568" s="31"/>
      <c r="AE568" s="31"/>
      <c r="AF568" s="31"/>
      <c r="AG568" s="31"/>
    </row>
    <row r="569" spans="1:33" s="32" customFormat="1" ht="15" customHeight="1">
      <c r="A569" s="37">
        <v>44085</v>
      </c>
      <c r="B569" s="57" t="s">
        <v>289</v>
      </c>
      <c r="C569" s="20" t="s">
        <v>47</v>
      </c>
      <c r="D569" s="20">
        <v>470</v>
      </c>
      <c r="E569" s="38">
        <v>1500</v>
      </c>
      <c r="F569" s="20" t="s">
        <v>8</v>
      </c>
      <c r="G569" s="43">
        <v>15</v>
      </c>
      <c r="H569" s="43">
        <v>15.9</v>
      </c>
      <c r="I569" s="43">
        <v>3.5</v>
      </c>
      <c r="J569" s="43">
        <v>0</v>
      </c>
      <c r="K569" s="1">
        <f t="shared" ref="K569" si="1599">(IF(F569="SELL",G569-H569,IF(F569="BUY",H569-G569)))*E569</f>
        <v>1350.0000000000005</v>
      </c>
      <c r="L569" s="43">
        <v>0</v>
      </c>
      <c r="M569" s="43">
        <v>0</v>
      </c>
      <c r="N569" s="1">
        <f t="shared" si="1582"/>
        <v>0.90000000000000036</v>
      </c>
      <c r="O569" s="1">
        <f t="shared" si="1583"/>
        <v>1350.0000000000005</v>
      </c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  <c r="AC569" s="31"/>
      <c r="AD569" s="31"/>
      <c r="AE569" s="31"/>
      <c r="AF569" s="31"/>
      <c r="AG569" s="31"/>
    </row>
    <row r="570" spans="1:33" s="32" customFormat="1" ht="15" customHeight="1">
      <c r="A570" s="37">
        <v>44085</v>
      </c>
      <c r="B570" s="57" t="s">
        <v>28</v>
      </c>
      <c r="C570" s="20" t="s">
        <v>46</v>
      </c>
      <c r="D570" s="20">
        <v>480</v>
      </c>
      <c r="E570" s="38">
        <v>1851</v>
      </c>
      <c r="F570" s="20" t="s">
        <v>8</v>
      </c>
      <c r="G570" s="43">
        <v>8.5</v>
      </c>
      <c r="H570" s="43">
        <v>8.5</v>
      </c>
      <c r="I570" s="43">
        <v>3.5</v>
      </c>
      <c r="J570" s="43">
        <v>0</v>
      </c>
      <c r="K570" s="1">
        <f t="shared" ref="K570" si="1600">(IF(F570="SELL",G570-H570,IF(F570="BUY",H570-G570)))*E570</f>
        <v>0</v>
      </c>
      <c r="L570" s="43">
        <v>0</v>
      </c>
      <c r="M570" s="43">
        <v>0</v>
      </c>
      <c r="N570" s="1">
        <f t="shared" si="1582"/>
        <v>0</v>
      </c>
      <c r="O570" s="1">
        <f t="shared" si="1583"/>
        <v>0</v>
      </c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1"/>
      <c r="AD570" s="31"/>
      <c r="AE570" s="31"/>
      <c r="AF570" s="31"/>
      <c r="AG570" s="31"/>
    </row>
    <row r="571" spans="1:33" s="32" customFormat="1" ht="15" customHeight="1">
      <c r="A571" s="37">
        <v>44084</v>
      </c>
      <c r="B571" s="20" t="s">
        <v>466</v>
      </c>
      <c r="C571" s="20" t="s">
        <v>47</v>
      </c>
      <c r="D571" s="20">
        <v>480</v>
      </c>
      <c r="E571" s="38">
        <v>1375</v>
      </c>
      <c r="F571" s="20" t="s">
        <v>8</v>
      </c>
      <c r="G571" s="43">
        <v>11</v>
      </c>
      <c r="H571" s="43">
        <v>8.8000000000000007</v>
      </c>
      <c r="I571" s="43">
        <v>0</v>
      </c>
      <c r="J571" s="43">
        <v>0</v>
      </c>
      <c r="K571" s="1">
        <f t="shared" ref="K571:K572" si="1601">(IF(F571="SELL",G571-H571,IF(F571="BUY",H571-G571)))*E571</f>
        <v>-3024.9999999999991</v>
      </c>
      <c r="L571" s="43">
        <v>0</v>
      </c>
      <c r="M571" s="43">
        <v>0</v>
      </c>
      <c r="N571" s="1">
        <f t="shared" si="1582"/>
        <v>-2.1999999999999993</v>
      </c>
      <c r="O571" s="1">
        <f t="shared" si="1583"/>
        <v>-3024.9999999999991</v>
      </c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  <c r="AC571" s="31"/>
      <c r="AD571" s="31"/>
      <c r="AE571" s="31"/>
      <c r="AF571" s="31"/>
      <c r="AG571" s="31"/>
    </row>
    <row r="572" spans="1:33" s="32" customFormat="1" ht="15" customHeight="1">
      <c r="A572" s="37">
        <v>44084</v>
      </c>
      <c r="B572" s="20" t="s">
        <v>395</v>
      </c>
      <c r="C572" s="20" t="s">
        <v>47</v>
      </c>
      <c r="D572" s="20">
        <v>440</v>
      </c>
      <c r="E572" s="38">
        <v>1800</v>
      </c>
      <c r="F572" s="20" t="s">
        <v>8</v>
      </c>
      <c r="G572" s="43">
        <v>11.5</v>
      </c>
      <c r="H572" s="43">
        <v>9.5</v>
      </c>
      <c r="I572" s="43">
        <v>0</v>
      </c>
      <c r="J572" s="43">
        <v>0</v>
      </c>
      <c r="K572" s="1">
        <f t="shared" si="1601"/>
        <v>-3600</v>
      </c>
      <c r="L572" s="43">
        <v>0</v>
      </c>
      <c r="M572" s="43">
        <v>0</v>
      </c>
      <c r="N572" s="1">
        <f t="shared" si="1582"/>
        <v>-2</v>
      </c>
      <c r="O572" s="1">
        <f t="shared" si="1583"/>
        <v>-3600</v>
      </c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1"/>
      <c r="AD572" s="31"/>
      <c r="AE572" s="31"/>
      <c r="AF572" s="31"/>
      <c r="AG572" s="31"/>
    </row>
    <row r="573" spans="1:33" s="32" customFormat="1" ht="15" customHeight="1">
      <c r="A573" s="37">
        <v>44084</v>
      </c>
      <c r="B573" s="57" t="s">
        <v>36</v>
      </c>
      <c r="C573" s="20" t="s">
        <v>47</v>
      </c>
      <c r="D573" s="20">
        <v>82</v>
      </c>
      <c r="E573" s="38">
        <v>5700</v>
      </c>
      <c r="F573" s="20" t="s">
        <v>8</v>
      </c>
      <c r="G573" s="43">
        <v>2.7</v>
      </c>
      <c r="H573" s="43">
        <v>3.25</v>
      </c>
      <c r="I573" s="43">
        <v>3.5</v>
      </c>
      <c r="J573" s="43">
        <v>0</v>
      </c>
      <c r="K573" s="1">
        <f t="shared" ref="K573" si="1602">(IF(F573="SELL",G573-H573,IF(F573="BUY",H573-G573)))*E573</f>
        <v>3134.9999999999991</v>
      </c>
      <c r="L573" s="43">
        <f>E573*0.25</f>
        <v>1425</v>
      </c>
      <c r="M573" s="43">
        <v>0</v>
      </c>
      <c r="N573" s="1">
        <f t="shared" si="1582"/>
        <v>0.79999999999999982</v>
      </c>
      <c r="O573" s="1">
        <f t="shared" si="1583"/>
        <v>4559.9999999999991</v>
      </c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1"/>
      <c r="AD573" s="31"/>
      <c r="AE573" s="31"/>
      <c r="AF573" s="31"/>
      <c r="AG573" s="31"/>
    </row>
    <row r="574" spans="1:33" s="32" customFormat="1" ht="15" customHeight="1">
      <c r="A574" s="37">
        <v>44083</v>
      </c>
      <c r="B574" s="20" t="s">
        <v>485</v>
      </c>
      <c r="C574" s="20" t="s">
        <v>47</v>
      </c>
      <c r="D574" s="20">
        <v>1500</v>
      </c>
      <c r="E574" s="38">
        <v>500</v>
      </c>
      <c r="F574" s="20" t="s">
        <v>8</v>
      </c>
      <c r="G574" s="43">
        <v>28</v>
      </c>
      <c r="H574" s="43">
        <v>27.5</v>
      </c>
      <c r="I574" s="43">
        <v>0</v>
      </c>
      <c r="J574" s="43">
        <v>0</v>
      </c>
      <c r="K574" s="1">
        <f t="shared" ref="K574" si="1603">(IF(F574="SELL",G574-H574,IF(F574="BUY",H574-G574)))*E574</f>
        <v>-250</v>
      </c>
      <c r="L574" s="43">
        <v>0</v>
      </c>
      <c r="M574" s="43">
        <v>0</v>
      </c>
      <c r="N574" s="1">
        <f t="shared" si="1582"/>
        <v>-0.5</v>
      </c>
      <c r="O574" s="1">
        <f t="shared" si="1583"/>
        <v>-250</v>
      </c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  <c r="AC574" s="31"/>
      <c r="AD574" s="31"/>
      <c r="AE574" s="31"/>
      <c r="AF574" s="31"/>
      <c r="AG574" s="31"/>
    </row>
    <row r="575" spans="1:33" s="32" customFormat="1" ht="15" customHeight="1">
      <c r="A575" s="37">
        <v>44083</v>
      </c>
      <c r="B575" s="57" t="s">
        <v>21</v>
      </c>
      <c r="C575" s="20" t="s">
        <v>46</v>
      </c>
      <c r="D575" s="20">
        <v>190</v>
      </c>
      <c r="E575" s="38">
        <v>3000</v>
      </c>
      <c r="F575" s="20" t="s">
        <v>8</v>
      </c>
      <c r="G575" s="43">
        <v>4.5</v>
      </c>
      <c r="H575" s="43">
        <v>5.5</v>
      </c>
      <c r="I575" s="43">
        <v>5.75</v>
      </c>
      <c r="J575" s="43">
        <v>0</v>
      </c>
      <c r="K575" s="1">
        <f t="shared" ref="K575" si="1604">(IF(F575="SELL",G575-H575,IF(F575="BUY",H575-G575)))*E575</f>
        <v>3000</v>
      </c>
      <c r="L575" s="43">
        <f>E575*0.25</f>
        <v>750</v>
      </c>
      <c r="M575" s="43">
        <v>0</v>
      </c>
      <c r="N575" s="1">
        <f t="shared" si="1582"/>
        <v>1.25</v>
      </c>
      <c r="O575" s="1">
        <f t="shared" si="1583"/>
        <v>3750</v>
      </c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1"/>
      <c r="AD575" s="31"/>
      <c r="AE575" s="31"/>
      <c r="AF575" s="31"/>
      <c r="AG575" s="31"/>
    </row>
    <row r="576" spans="1:33" s="32" customFormat="1" ht="15" customHeight="1">
      <c r="A576" s="37">
        <v>44083</v>
      </c>
      <c r="B576" s="57" t="s">
        <v>391</v>
      </c>
      <c r="C576" s="20" t="s">
        <v>47</v>
      </c>
      <c r="D576" s="20">
        <v>520</v>
      </c>
      <c r="E576" s="38">
        <v>1400</v>
      </c>
      <c r="F576" s="20" t="s">
        <v>8</v>
      </c>
      <c r="G576" s="43">
        <v>12</v>
      </c>
      <c r="H576" s="43">
        <v>13.6</v>
      </c>
      <c r="I576" s="43">
        <v>0</v>
      </c>
      <c r="J576" s="43">
        <v>0</v>
      </c>
      <c r="K576" s="1">
        <f t="shared" ref="K576" si="1605">(IF(F576="SELL",G576-H576,IF(F576="BUY",H576-G576)))*E576</f>
        <v>2239.9999999999995</v>
      </c>
      <c r="L576" s="43">
        <v>0</v>
      </c>
      <c r="M576" s="43">
        <v>0</v>
      </c>
      <c r="N576" s="1">
        <f t="shared" si="1582"/>
        <v>1.5999999999999996</v>
      </c>
      <c r="O576" s="1">
        <f t="shared" si="1583"/>
        <v>2239.9999999999995</v>
      </c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  <c r="AD576" s="31"/>
      <c r="AE576" s="31"/>
      <c r="AF576" s="31"/>
      <c r="AG576" s="31"/>
    </row>
    <row r="577" spans="1:33" s="32" customFormat="1" ht="15" customHeight="1">
      <c r="A577" s="37">
        <v>44082</v>
      </c>
      <c r="B577" s="57" t="s">
        <v>28</v>
      </c>
      <c r="C577" s="20" t="s">
        <v>46</v>
      </c>
      <c r="D577" s="20">
        <v>500</v>
      </c>
      <c r="E577" s="38">
        <v>1851</v>
      </c>
      <c r="F577" s="20" t="s">
        <v>8</v>
      </c>
      <c r="G577" s="43">
        <v>11.5</v>
      </c>
      <c r="H577" s="43">
        <v>13.5</v>
      </c>
      <c r="I577" s="43">
        <v>16.5</v>
      </c>
      <c r="J577" s="43">
        <v>0</v>
      </c>
      <c r="K577" s="1">
        <f t="shared" ref="K577" si="1606">(IF(F577="SELL",G577-H577,IF(F577="BUY",H577-G577)))*E577</f>
        <v>3702</v>
      </c>
      <c r="L577" s="43">
        <f>E577*3</f>
        <v>5553</v>
      </c>
      <c r="M577" s="43">
        <v>0</v>
      </c>
      <c r="N577" s="1">
        <f t="shared" si="1582"/>
        <v>5</v>
      </c>
      <c r="O577" s="1">
        <f t="shared" si="1583"/>
        <v>9255</v>
      </c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1"/>
      <c r="AD577" s="31"/>
      <c r="AE577" s="31"/>
      <c r="AF577" s="31"/>
      <c r="AG577" s="31"/>
    </row>
    <row r="578" spans="1:33" s="32" customFormat="1" ht="15" customHeight="1">
      <c r="A578" s="37">
        <v>44082</v>
      </c>
      <c r="B578" s="57" t="s">
        <v>63</v>
      </c>
      <c r="C578" s="20" t="s">
        <v>47</v>
      </c>
      <c r="D578" s="20">
        <v>200</v>
      </c>
      <c r="E578" s="38">
        <v>2700</v>
      </c>
      <c r="F578" s="20" t="s">
        <v>8</v>
      </c>
      <c r="G578" s="43">
        <v>9.25</v>
      </c>
      <c r="H578" s="43">
        <v>9.5</v>
      </c>
      <c r="I578" s="43">
        <v>0</v>
      </c>
      <c r="J578" s="43">
        <v>0</v>
      </c>
      <c r="K578" s="1">
        <f t="shared" ref="K578" si="1607">(IF(F578="SELL",G578-H578,IF(F578="BUY",H578-G578)))*E578</f>
        <v>675</v>
      </c>
      <c r="L578" s="43">
        <v>0</v>
      </c>
      <c r="M578" s="43">
        <v>0</v>
      </c>
      <c r="N578" s="1">
        <f t="shared" si="1582"/>
        <v>0.25</v>
      </c>
      <c r="O578" s="1">
        <f t="shared" si="1583"/>
        <v>675</v>
      </c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1"/>
      <c r="AD578" s="31"/>
      <c r="AE578" s="31"/>
      <c r="AF578" s="31"/>
      <c r="AG578" s="31"/>
    </row>
    <row r="579" spans="1:33" s="32" customFormat="1" ht="15" customHeight="1">
      <c r="A579" s="37">
        <v>44081</v>
      </c>
      <c r="B579" s="20" t="s">
        <v>15</v>
      </c>
      <c r="C579" s="20" t="s">
        <v>46</v>
      </c>
      <c r="D579" s="20">
        <v>430</v>
      </c>
      <c r="E579" s="38">
        <v>1400</v>
      </c>
      <c r="F579" s="20" t="s">
        <v>8</v>
      </c>
      <c r="G579" s="43">
        <v>19</v>
      </c>
      <c r="H579" s="43">
        <v>16.75</v>
      </c>
      <c r="I579" s="43">
        <v>0</v>
      </c>
      <c r="J579" s="43">
        <v>0</v>
      </c>
      <c r="K579" s="1">
        <f t="shared" ref="K579" si="1608">(IF(F579="SELL",G579-H579,IF(F579="BUY",H579-G579)))*E579</f>
        <v>-3150</v>
      </c>
      <c r="L579" s="43">
        <v>0</v>
      </c>
      <c r="M579" s="43">
        <v>0</v>
      </c>
      <c r="N579" s="1">
        <f t="shared" si="1582"/>
        <v>-2.25</v>
      </c>
      <c r="O579" s="1">
        <f t="shared" si="1583"/>
        <v>-3150</v>
      </c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1"/>
      <c r="AD579" s="31"/>
      <c r="AE579" s="31"/>
      <c r="AF579" s="31"/>
      <c r="AG579" s="31"/>
    </row>
    <row r="580" spans="1:33" s="32" customFormat="1" ht="15" customHeight="1">
      <c r="A580" s="37">
        <v>44081</v>
      </c>
      <c r="B580" s="57" t="s">
        <v>63</v>
      </c>
      <c r="C580" s="20" t="s">
        <v>46</v>
      </c>
      <c r="D580" s="20">
        <v>200</v>
      </c>
      <c r="E580" s="38">
        <v>2100</v>
      </c>
      <c r="F580" s="20" t="s">
        <v>8</v>
      </c>
      <c r="G580" s="43">
        <v>9.6999999999999993</v>
      </c>
      <c r="H580" s="43">
        <v>10.9</v>
      </c>
      <c r="I580" s="43">
        <v>0</v>
      </c>
      <c r="J580" s="43">
        <v>0</v>
      </c>
      <c r="K580" s="1">
        <f t="shared" ref="K580" si="1609">(IF(F580="SELL",G580-H580,IF(F580="BUY",H580-G580)))*E580</f>
        <v>2520.0000000000023</v>
      </c>
      <c r="L580" s="43">
        <v>0</v>
      </c>
      <c r="M580" s="43">
        <v>0</v>
      </c>
      <c r="N580" s="1">
        <f t="shared" si="1582"/>
        <v>1.2000000000000011</v>
      </c>
      <c r="O580" s="1">
        <f t="shared" si="1583"/>
        <v>2520.0000000000023</v>
      </c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1"/>
      <c r="AD580" s="31"/>
      <c r="AE580" s="31"/>
      <c r="AF580" s="31"/>
      <c r="AG580" s="31"/>
    </row>
    <row r="581" spans="1:33" s="32" customFormat="1" ht="15" customHeight="1">
      <c r="A581" s="37">
        <v>44078</v>
      </c>
      <c r="B581" s="57" t="s">
        <v>395</v>
      </c>
      <c r="C581" s="20" t="s">
        <v>47</v>
      </c>
      <c r="D581" s="20">
        <v>410</v>
      </c>
      <c r="E581" s="38">
        <v>1800</v>
      </c>
      <c r="F581" s="20" t="s">
        <v>8</v>
      </c>
      <c r="G581" s="43">
        <v>19</v>
      </c>
      <c r="H581" s="43">
        <v>17.5</v>
      </c>
      <c r="I581" s="43">
        <v>0</v>
      </c>
      <c r="J581" s="43">
        <v>0</v>
      </c>
      <c r="K581" s="1">
        <f t="shared" ref="K581" si="1610">(IF(F581="SELL",G581-H581,IF(F581="BUY",H581-G581)))*E581</f>
        <v>-2700</v>
      </c>
      <c r="L581" s="43">
        <v>0</v>
      </c>
      <c r="M581" s="43">
        <v>0</v>
      </c>
      <c r="N581" s="1">
        <f t="shared" si="1582"/>
        <v>-1.5</v>
      </c>
      <c r="O581" s="1">
        <f t="shared" si="1583"/>
        <v>-2700</v>
      </c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1"/>
      <c r="AD581" s="31"/>
      <c r="AE581" s="31"/>
      <c r="AF581" s="31"/>
      <c r="AG581" s="31"/>
    </row>
    <row r="582" spans="1:33" s="32" customFormat="1" ht="15" customHeight="1">
      <c r="A582" s="37">
        <v>44077</v>
      </c>
      <c r="B582" s="57" t="s">
        <v>71</v>
      </c>
      <c r="C582" s="20" t="s">
        <v>47</v>
      </c>
      <c r="D582" s="20">
        <v>200</v>
      </c>
      <c r="E582" s="38">
        <v>2700</v>
      </c>
      <c r="F582" s="20" t="s">
        <v>8</v>
      </c>
      <c r="G582" s="43">
        <v>11.75</v>
      </c>
      <c r="H582" s="43">
        <v>11.25</v>
      </c>
      <c r="I582" s="43">
        <v>0</v>
      </c>
      <c r="J582" s="43">
        <v>0</v>
      </c>
      <c r="K582" s="1">
        <f t="shared" ref="K582" si="1611">(IF(F582="SELL",G582-H582,IF(F582="BUY",H582-G582)))*E582</f>
        <v>-1350</v>
      </c>
      <c r="L582" s="43">
        <v>0</v>
      </c>
      <c r="M582" s="43">
        <v>0</v>
      </c>
      <c r="N582" s="1">
        <f t="shared" si="1582"/>
        <v>-0.5</v>
      </c>
      <c r="O582" s="1">
        <f t="shared" si="1583"/>
        <v>-1350</v>
      </c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  <c r="AC582" s="31"/>
      <c r="AD582" s="31"/>
      <c r="AE582" s="31"/>
      <c r="AF582" s="31"/>
      <c r="AG582" s="31"/>
    </row>
    <row r="583" spans="1:33" s="32" customFormat="1" ht="15" customHeight="1">
      <c r="A583" s="37">
        <v>44077</v>
      </c>
      <c r="B583" s="57" t="s">
        <v>391</v>
      </c>
      <c r="C583" s="20" t="s">
        <v>46</v>
      </c>
      <c r="D583" s="20">
        <v>500</v>
      </c>
      <c r="E583" s="38">
        <v>1400</v>
      </c>
      <c r="F583" s="20" t="s">
        <v>8</v>
      </c>
      <c r="G583" s="43">
        <v>16</v>
      </c>
      <c r="H583" s="43">
        <v>13.25</v>
      </c>
      <c r="I583" s="43">
        <v>0</v>
      </c>
      <c r="J583" s="43">
        <v>0</v>
      </c>
      <c r="K583" s="1">
        <f t="shared" ref="K583" si="1612">(IF(F583="SELL",G583-H583,IF(F583="BUY",H583-G583)))*E583</f>
        <v>-3850</v>
      </c>
      <c r="L583" s="43">
        <v>0</v>
      </c>
      <c r="M583" s="43">
        <v>0</v>
      </c>
      <c r="N583" s="1">
        <f t="shared" si="1582"/>
        <v>-2.75</v>
      </c>
      <c r="O583" s="1">
        <f t="shared" si="1583"/>
        <v>-3850</v>
      </c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1"/>
      <c r="AD583" s="31"/>
      <c r="AE583" s="31"/>
      <c r="AF583" s="31"/>
      <c r="AG583" s="31"/>
    </row>
    <row r="584" spans="1:33" s="32" customFormat="1" ht="15" customHeight="1">
      <c r="A584" s="37">
        <v>44075</v>
      </c>
      <c r="B584" s="57" t="s">
        <v>300</v>
      </c>
      <c r="C584" s="20" t="s">
        <v>46</v>
      </c>
      <c r="D584" s="20">
        <v>120</v>
      </c>
      <c r="E584" s="38">
        <v>3444</v>
      </c>
      <c r="F584" s="20" t="s">
        <v>8</v>
      </c>
      <c r="G584" s="43">
        <v>3</v>
      </c>
      <c r="H584" s="43">
        <v>3.65</v>
      </c>
      <c r="I584" s="43">
        <v>0</v>
      </c>
      <c r="J584" s="43">
        <v>0</v>
      </c>
      <c r="K584" s="1">
        <f t="shared" ref="K584" si="1613">(IF(F584="SELL",G584-H584,IF(F584="BUY",H584-G584)))*E584</f>
        <v>2238.6</v>
      </c>
      <c r="L584" s="43">
        <v>0</v>
      </c>
      <c r="M584" s="43">
        <v>0</v>
      </c>
      <c r="N584" s="1">
        <f t="shared" si="1582"/>
        <v>0.65</v>
      </c>
      <c r="O584" s="1">
        <f t="shared" si="1583"/>
        <v>2238.6</v>
      </c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1"/>
      <c r="AD584" s="31"/>
      <c r="AE584" s="31"/>
      <c r="AF584" s="31"/>
      <c r="AG584" s="31"/>
    </row>
    <row r="585" spans="1:33" s="32" customFormat="1" ht="15" customHeight="1">
      <c r="A585" s="37">
        <v>44075</v>
      </c>
      <c r="B585" s="57" t="s">
        <v>37</v>
      </c>
      <c r="C585" s="20" t="s">
        <v>47</v>
      </c>
      <c r="D585" s="20">
        <v>2320</v>
      </c>
      <c r="E585" s="38">
        <v>250</v>
      </c>
      <c r="F585" s="20" t="s">
        <v>8</v>
      </c>
      <c r="G585" s="43">
        <v>56</v>
      </c>
      <c r="H585" s="43">
        <v>47</v>
      </c>
      <c r="I585" s="43">
        <v>0</v>
      </c>
      <c r="J585" s="43">
        <v>0</v>
      </c>
      <c r="K585" s="1">
        <f t="shared" ref="K585" si="1614">(IF(F585="SELL",G585-H585,IF(F585="BUY",H585-G585)))*E585</f>
        <v>-2250</v>
      </c>
      <c r="L585" s="43">
        <v>0</v>
      </c>
      <c r="M585" s="43">
        <v>0</v>
      </c>
      <c r="N585" s="1">
        <f t="shared" si="1582"/>
        <v>-9</v>
      </c>
      <c r="O585" s="1">
        <f t="shared" si="1583"/>
        <v>-2250</v>
      </c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1"/>
      <c r="AD585" s="31"/>
      <c r="AE585" s="31"/>
      <c r="AF585" s="31"/>
      <c r="AG585" s="31"/>
    </row>
    <row r="586" spans="1:33" s="32" customFormat="1" ht="15" customHeight="1">
      <c r="A586" s="37">
        <v>44074</v>
      </c>
      <c r="B586" s="57" t="s">
        <v>300</v>
      </c>
      <c r="C586" s="20" t="s">
        <v>46</v>
      </c>
      <c r="D586" s="20">
        <v>135</v>
      </c>
      <c r="E586" s="38">
        <v>3444</v>
      </c>
      <c r="F586" s="20" t="s">
        <v>8</v>
      </c>
      <c r="G586" s="43">
        <v>4.7</v>
      </c>
      <c r="H586" s="43">
        <v>5.5</v>
      </c>
      <c r="I586" s="43">
        <v>6.5</v>
      </c>
      <c r="J586" s="43">
        <v>8.5</v>
      </c>
      <c r="K586" s="1">
        <f t="shared" ref="K586" si="1615">(IF(F586="SELL",G586-H586,IF(F586="BUY",H586-G586)))*E586</f>
        <v>2755.1999999999994</v>
      </c>
      <c r="L586" s="43">
        <v>3444</v>
      </c>
      <c r="M586" s="43">
        <f>3444*2</f>
        <v>6888</v>
      </c>
      <c r="N586" s="1">
        <f t="shared" si="1582"/>
        <v>3.8</v>
      </c>
      <c r="O586" s="1">
        <f t="shared" si="1583"/>
        <v>13087.199999999999</v>
      </c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1"/>
      <c r="AD586" s="31"/>
      <c r="AE586" s="31"/>
      <c r="AF586" s="31"/>
      <c r="AG586" s="31"/>
    </row>
    <row r="587" spans="1:33" s="32" customFormat="1" ht="15" customHeight="1">
      <c r="A587" s="37">
        <v>44074</v>
      </c>
      <c r="B587" s="57" t="s">
        <v>26</v>
      </c>
      <c r="C587" s="20" t="s">
        <v>46</v>
      </c>
      <c r="D587" s="20">
        <v>370</v>
      </c>
      <c r="E587" s="38">
        <v>1700</v>
      </c>
      <c r="F587" s="20" t="s">
        <v>8</v>
      </c>
      <c r="G587" s="43">
        <v>3.2</v>
      </c>
      <c r="H587" s="43">
        <v>4.2</v>
      </c>
      <c r="I587" s="43">
        <v>5.5</v>
      </c>
      <c r="J587" s="43">
        <v>0</v>
      </c>
      <c r="K587" s="1">
        <f t="shared" ref="K587" si="1616">(IF(F587="SELL",G587-H587,IF(F587="BUY",H587-G587)))*E587</f>
        <v>1700</v>
      </c>
      <c r="L587" s="43">
        <f>1.3*1700</f>
        <v>2210</v>
      </c>
      <c r="M587" s="43">
        <v>0</v>
      </c>
      <c r="N587" s="1">
        <f t="shared" si="1582"/>
        <v>2.2999999999999998</v>
      </c>
      <c r="O587" s="1">
        <f t="shared" si="1583"/>
        <v>3909.9999999999995</v>
      </c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1"/>
      <c r="AD587" s="31"/>
      <c r="AE587" s="31"/>
      <c r="AF587" s="31"/>
      <c r="AG587" s="31"/>
    </row>
    <row r="588" spans="1:33" s="32" customFormat="1" ht="15" customHeight="1">
      <c r="A588" s="37">
        <v>44074</v>
      </c>
      <c r="B588" s="57" t="s">
        <v>13</v>
      </c>
      <c r="C588" s="20" t="s">
        <v>47</v>
      </c>
      <c r="D588" s="20">
        <v>800</v>
      </c>
      <c r="E588" s="38">
        <v>1400</v>
      </c>
      <c r="F588" s="20" t="s">
        <v>8</v>
      </c>
      <c r="G588" s="43">
        <v>4.8</v>
      </c>
      <c r="H588" s="43">
        <v>3.3</v>
      </c>
      <c r="I588" s="43">
        <v>0</v>
      </c>
      <c r="J588" s="43">
        <v>0</v>
      </c>
      <c r="K588" s="1">
        <f t="shared" ref="K588" si="1617">(IF(F588="SELL",G588-H588,IF(F588="BUY",H588-G588)))*E588</f>
        <v>-2100</v>
      </c>
      <c r="L588" s="43">
        <v>0</v>
      </c>
      <c r="M588" s="43">
        <v>0</v>
      </c>
      <c r="N588" s="1">
        <f t="shared" si="1582"/>
        <v>-1.5</v>
      </c>
      <c r="O588" s="1">
        <f t="shared" si="1583"/>
        <v>-2100</v>
      </c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  <c r="AC588" s="31"/>
      <c r="AD588" s="31"/>
      <c r="AE588" s="31"/>
      <c r="AF588" s="31"/>
      <c r="AG588" s="31"/>
    </row>
    <row r="589" spans="1:33" s="32" customFormat="1" ht="15" customHeight="1">
      <c r="A589" s="37">
        <v>44071</v>
      </c>
      <c r="B589" s="57" t="s">
        <v>467</v>
      </c>
      <c r="C589" s="20" t="s">
        <v>47</v>
      </c>
      <c r="D589" s="20">
        <v>1200</v>
      </c>
      <c r="E589" s="38">
        <v>550</v>
      </c>
      <c r="F589" s="20" t="s">
        <v>8</v>
      </c>
      <c r="G589" s="43">
        <v>9.5</v>
      </c>
      <c r="H589" s="43">
        <v>12.4</v>
      </c>
      <c r="I589" s="43">
        <v>10</v>
      </c>
      <c r="J589" s="43">
        <v>0</v>
      </c>
      <c r="K589" s="1">
        <f t="shared" ref="K589" si="1618">(IF(F589="SELL",G589-H589,IF(F589="BUY",H589-G589)))*E589</f>
        <v>1595.0000000000002</v>
      </c>
      <c r="L589" s="43">
        <v>3000</v>
      </c>
      <c r="M589" s="43">
        <v>0</v>
      </c>
      <c r="N589" s="1">
        <f t="shared" si="1582"/>
        <v>8.3545454545454554</v>
      </c>
      <c r="O589" s="1">
        <f t="shared" si="1583"/>
        <v>4595.0000000000009</v>
      </c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  <c r="AC589" s="31"/>
      <c r="AD589" s="31"/>
      <c r="AE589" s="31"/>
      <c r="AF589" s="31"/>
      <c r="AG589" s="31"/>
    </row>
    <row r="590" spans="1:33" s="32" customFormat="1" ht="15" customHeight="1">
      <c r="A590" s="37">
        <v>44071</v>
      </c>
      <c r="B590" s="57" t="s">
        <v>175</v>
      </c>
      <c r="C590" s="20" t="s">
        <v>47</v>
      </c>
      <c r="D590" s="20">
        <v>4150</v>
      </c>
      <c r="E590" s="38">
        <v>250</v>
      </c>
      <c r="F590" s="20" t="s">
        <v>8</v>
      </c>
      <c r="G590" s="43">
        <v>25</v>
      </c>
      <c r="H590" s="43">
        <v>29.9</v>
      </c>
      <c r="I590" s="43">
        <v>10</v>
      </c>
      <c r="J590" s="43">
        <v>0</v>
      </c>
      <c r="K590" s="1">
        <f t="shared" ref="K590" si="1619">(IF(F590="SELL",G590-H590,IF(F590="BUY",H590-G590)))*E590</f>
        <v>1224.9999999999995</v>
      </c>
      <c r="L590" s="43">
        <v>0</v>
      </c>
      <c r="M590" s="43">
        <v>0</v>
      </c>
      <c r="N590" s="1">
        <f t="shared" si="1582"/>
        <v>4.8999999999999986</v>
      </c>
      <c r="O590" s="1">
        <f t="shared" si="1583"/>
        <v>1224.9999999999995</v>
      </c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  <c r="AC590" s="31"/>
      <c r="AD590" s="31"/>
      <c r="AE590" s="31"/>
      <c r="AF590" s="31"/>
      <c r="AG590" s="31"/>
    </row>
    <row r="591" spans="1:33" s="32" customFormat="1" ht="15" customHeight="1">
      <c r="A591" s="37">
        <v>44071</v>
      </c>
      <c r="B591" s="57" t="s">
        <v>336</v>
      </c>
      <c r="C591" s="20" t="s">
        <v>47</v>
      </c>
      <c r="D591" s="20">
        <v>1500</v>
      </c>
      <c r="E591" s="38">
        <v>800</v>
      </c>
      <c r="F591" s="20" t="s">
        <v>8</v>
      </c>
      <c r="G591" s="43">
        <v>24</v>
      </c>
      <c r="H591" s="43">
        <v>20.5</v>
      </c>
      <c r="I591" s="43">
        <v>0</v>
      </c>
      <c r="J591" s="43">
        <v>0</v>
      </c>
      <c r="K591" s="1">
        <f t="shared" ref="K591" si="1620">(IF(F591="SELL",G591-H591,IF(F591="BUY",H591-G591)))*E591</f>
        <v>-2800</v>
      </c>
      <c r="L591" s="43">
        <v>0</v>
      </c>
      <c r="M591" s="43">
        <v>0</v>
      </c>
      <c r="N591" s="1">
        <f t="shared" si="1582"/>
        <v>-3.5</v>
      </c>
      <c r="O591" s="1">
        <f t="shared" si="1583"/>
        <v>-2800</v>
      </c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  <c r="AC591" s="31"/>
      <c r="AD591" s="31"/>
      <c r="AE591" s="31"/>
      <c r="AF591" s="31"/>
      <c r="AG591" s="31"/>
    </row>
    <row r="592" spans="1:33" s="32" customFormat="1" ht="15" customHeight="1">
      <c r="A592" s="37">
        <v>44070</v>
      </c>
      <c r="B592" s="57" t="s">
        <v>289</v>
      </c>
      <c r="C592" s="20" t="s">
        <v>47</v>
      </c>
      <c r="D592" s="20">
        <v>510</v>
      </c>
      <c r="E592" s="38">
        <v>1500</v>
      </c>
      <c r="F592" s="20" t="s">
        <v>8</v>
      </c>
      <c r="G592" s="43">
        <v>6</v>
      </c>
      <c r="H592" s="43">
        <v>8</v>
      </c>
      <c r="I592" s="43">
        <v>10</v>
      </c>
      <c r="J592" s="43">
        <v>0</v>
      </c>
      <c r="K592" s="1">
        <f t="shared" ref="K592" si="1621">(IF(F592="SELL",G592-H592,IF(F592="BUY",H592-G592)))*E592</f>
        <v>3000</v>
      </c>
      <c r="L592" s="43">
        <v>3000</v>
      </c>
      <c r="M592" s="43">
        <v>0</v>
      </c>
      <c r="N592" s="1">
        <f t="shared" si="1582"/>
        <v>4</v>
      </c>
      <c r="O592" s="1">
        <f t="shared" si="1583"/>
        <v>6000</v>
      </c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/>
      <c r="AD592" s="31"/>
      <c r="AE592" s="31"/>
      <c r="AF592" s="31"/>
      <c r="AG592" s="31"/>
    </row>
    <row r="593" spans="1:33" s="32" customFormat="1" ht="15" customHeight="1">
      <c r="A593" s="37">
        <v>44070</v>
      </c>
      <c r="B593" s="57" t="s">
        <v>106</v>
      </c>
      <c r="C593" s="20" t="s">
        <v>47</v>
      </c>
      <c r="D593" s="20">
        <v>4700</v>
      </c>
      <c r="E593" s="38">
        <v>250</v>
      </c>
      <c r="F593" s="20" t="s">
        <v>8</v>
      </c>
      <c r="G593" s="43">
        <v>78</v>
      </c>
      <c r="H593" s="43">
        <v>72</v>
      </c>
      <c r="I593" s="43">
        <v>0</v>
      </c>
      <c r="J593" s="43">
        <v>0</v>
      </c>
      <c r="K593" s="1">
        <f t="shared" ref="K593" si="1622">(IF(F593="SELL",G593-H593,IF(F593="BUY",H593-G593)))*E593</f>
        <v>-1500</v>
      </c>
      <c r="L593" s="43">
        <v>0</v>
      </c>
      <c r="M593" s="43">
        <v>0</v>
      </c>
      <c r="N593" s="1">
        <f t="shared" si="1582"/>
        <v>-6</v>
      </c>
      <c r="O593" s="1">
        <f t="shared" si="1583"/>
        <v>-1500</v>
      </c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  <c r="AC593" s="31"/>
      <c r="AD593" s="31"/>
      <c r="AE593" s="31"/>
      <c r="AF593" s="31"/>
      <c r="AG593" s="31"/>
    </row>
    <row r="594" spans="1:33" s="32" customFormat="1" ht="15" customHeight="1">
      <c r="A594" s="37">
        <v>44069</v>
      </c>
      <c r="B594" s="57" t="s">
        <v>336</v>
      </c>
      <c r="C594" s="20" t="s">
        <v>47</v>
      </c>
      <c r="D594" s="20">
        <v>1420</v>
      </c>
      <c r="E594" s="38">
        <v>800</v>
      </c>
      <c r="F594" s="20" t="s">
        <v>8</v>
      </c>
      <c r="G594" s="43">
        <v>4.5</v>
      </c>
      <c r="H594" s="43">
        <v>7.5</v>
      </c>
      <c r="I594" s="43">
        <v>0</v>
      </c>
      <c r="J594" s="43">
        <v>0</v>
      </c>
      <c r="K594" s="1">
        <f t="shared" ref="K594" si="1623">(IF(F594="SELL",G594-H594,IF(F594="BUY",H594-G594)))*E594</f>
        <v>2400</v>
      </c>
      <c r="L594" s="43">
        <v>0</v>
      </c>
      <c r="M594" s="43">
        <v>0</v>
      </c>
      <c r="N594" s="1">
        <f t="shared" si="1582"/>
        <v>3</v>
      </c>
      <c r="O594" s="1">
        <f t="shared" si="1583"/>
        <v>2400</v>
      </c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  <c r="AC594" s="31"/>
      <c r="AD594" s="31"/>
      <c r="AE594" s="31"/>
      <c r="AF594" s="31"/>
      <c r="AG594" s="31"/>
    </row>
    <row r="595" spans="1:33" s="32" customFormat="1" ht="15" customHeight="1">
      <c r="A595" s="37">
        <v>44069</v>
      </c>
      <c r="B595" s="57" t="s">
        <v>494</v>
      </c>
      <c r="C595" s="20" t="s">
        <v>47</v>
      </c>
      <c r="D595" s="20">
        <v>460</v>
      </c>
      <c r="E595" s="38">
        <v>1200</v>
      </c>
      <c r="F595" s="20" t="s">
        <v>8</v>
      </c>
      <c r="G595" s="43">
        <v>4.3</v>
      </c>
      <c r="H595" s="43">
        <v>6.3</v>
      </c>
      <c r="I595" s="43">
        <v>0</v>
      </c>
      <c r="J595" s="43">
        <v>0</v>
      </c>
      <c r="K595" s="1">
        <f t="shared" ref="K595" si="1624">(IF(F595="SELL",G595-H595,IF(F595="BUY",H595-G595)))*E595</f>
        <v>2400</v>
      </c>
      <c r="L595" s="43">
        <v>0</v>
      </c>
      <c r="M595" s="43">
        <v>0</v>
      </c>
      <c r="N595" s="1">
        <f t="shared" si="1582"/>
        <v>2</v>
      </c>
      <c r="O595" s="1">
        <f t="shared" si="1583"/>
        <v>2400</v>
      </c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1"/>
      <c r="AD595" s="31"/>
      <c r="AE595" s="31"/>
      <c r="AF595" s="31"/>
      <c r="AG595" s="31"/>
    </row>
    <row r="596" spans="1:33" s="32" customFormat="1" ht="15" customHeight="1">
      <c r="A596" s="37">
        <v>44068</v>
      </c>
      <c r="B596" s="57" t="s">
        <v>289</v>
      </c>
      <c r="C596" s="20" t="s">
        <v>47</v>
      </c>
      <c r="D596" s="20">
        <v>520</v>
      </c>
      <c r="E596" s="38">
        <v>1500</v>
      </c>
      <c r="F596" s="20" t="s">
        <v>8</v>
      </c>
      <c r="G596" s="43">
        <v>3.5</v>
      </c>
      <c r="H596" s="43">
        <v>5</v>
      </c>
      <c r="I596" s="43">
        <v>0</v>
      </c>
      <c r="J596" s="43">
        <v>0</v>
      </c>
      <c r="K596" s="1">
        <f t="shared" ref="K596" si="1625">(IF(F596="SELL",G596-H596,IF(F596="BUY",H596-G596)))*E596</f>
        <v>2250</v>
      </c>
      <c r="L596" s="43">
        <v>0</v>
      </c>
      <c r="M596" s="43">
        <v>0</v>
      </c>
      <c r="N596" s="1">
        <f t="shared" si="1582"/>
        <v>1.5</v>
      </c>
      <c r="O596" s="1">
        <f t="shared" si="1583"/>
        <v>2250</v>
      </c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31"/>
      <c r="AD596" s="31"/>
      <c r="AE596" s="31"/>
      <c r="AF596" s="31"/>
      <c r="AG596" s="31"/>
    </row>
    <row r="597" spans="1:33" s="32" customFormat="1" ht="15" customHeight="1">
      <c r="A597" s="37">
        <v>44068</v>
      </c>
      <c r="B597" s="57" t="s">
        <v>420</v>
      </c>
      <c r="C597" s="20" t="s">
        <v>47</v>
      </c>
      <c r="D597" s="20">
        <v>2000</v>
      </c>
      <c r="E597" s="38">
        <v>300</v>
      </c>
      <c r="F597" s="20" t="s">
        <v>8</v>
      </c>
      <c r="G597" s="43">
        <v>19</v>
      </c>
      <c r="H597" s="43">
        <v>25</v>
      </c>
      <c r="I597" s="43">
        <v>0</v>
      </c>
      <c r="J597" s="43">
        <v>0</v>
      </c>
      <c r="K597" s="1">
        <f t="shared" ref="K597" si="1626">(IF(F597="SELL",G597-H597,IF(F597="BUY",H597-G597)))*E597</f>
        <v>1800</v>
      </c>
      <c r="L597" s="43">
        <v>0</v>
      </c>
      <c r="M597" s="43">
        <v>0</v>
      </c>
      <c r="N597" s="1">
        <f t="shared" si="1582"/>
        <v>6</v>
      </c>
      <c r="O597" s="1">
        <f t="shared" si="1583"/>
        <v>1800</v>
      </c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1"/>
      <c r="AD597" s="31"/>
      <c r="AE597" s="31"/>
      <c r="AF597" s="31"/>
      <c r="AG597" s="31"/>
    </row>
    <row r="598" spans="1:33" s="32" customFormat="1" ht="15" customHeight="1">
      <c r="A598" s="37">
        <v>44068</v>
      </c>
      <c r="B598" s="57" t="s">
        <v>496</v>
      </c>
      <c r="C598" s="20" t="s">
        <v>47</v>
      </c>
      <c r="D598" s="20">
        <v>460</v>
      </c>
      <c r="E598" s="38">
        <v>1200</v>
      </c>
      <c r="F598" s="20" t="s">
        <v>8</v>
      </c>
      <c r="G598" s="43">
        <v>5</v>
      </c>
      <c r="H598" s="43">
        <v>5</v>
      </c>
      <c r="I598" s="43">
        <v>0</v>
      </c>
      <c r="J598" s="43">
        <v>0</v>
      </c>
      <c r="K598" s="1">
        <f t="shared" ref="K598" si="1627">(IF(F598="SELL",G598-H598,IF(F598="BUY",H598-G598)))*E598</f>
        <v>0</v>
      </c>
      <c r="L598" s="43">
        <v>0</v>
      </c>
      <c r="M598" s="43">
        <v>0</v>
      </c>
      <c r="N598" s="1">
        <f t="shared" si="1582"/>
        <v>0</v>
      </c>
      <c r="O598" s="1">
        <f t="shared" si="1583"/>
        <v>0</v>
      </c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1"/>
      <c r="AB598" s="31"/>
      <c r="AC598" s="31"/>
      <c r="AD598" s="31"/>
      <c r="AE598" s="31"/>
      <c r="AF598" s="31"/>
      <c r="AG598" s="31"/>
    </row>
    <row r="599" spans="1:33" s="32" customFormat="1" ht="15" customHeight="1">
      <c r="A599" s="37">
        <v>44067</v>
      </c>
      <c r="B599" s="57" t="s">
        <v>420</v>
      </c>
      <c r="C599" s="20" t="s">
        <v>47</v>
      </c>
      <c r="D599" s="20">
        <v>1500</v>
      </c>
      <c r="E599" s="38">
        <v>300</v>
      </c>
      <c r="F599" s="20" t="s">
        <v>8</v>
      </c>
      <c r="G599" s="43">
        <v>32</v>
      </c>
      <c r="H599" s="43">
        <v>23</v>
      </c>
      <c r="I599" s="43">
        <v>0</v>
      </c>
      <c r="J599" s="43">
        <v>0</v>
      </c>
      <c r="K599" s="1">
        <f t="shared" ref="K599" si="1628">(IF(F599="SELL",G599-H599,IF(F599="BUY",H599-G599)))*E599</f>
        <v>-2700</v>
      </c>
      <c r="L599" s="43">
        <v>0</v>
      </c>
      <c r="M599" s="43">
        <v>0</v>
      </c>
      <c r="N599" s="1">
        <f t="shared" si="1582"/>
        <v>-9</v>
      </c>
      <c r="O599" s="1">
        <f t="shared" si="1583"/>
        <v>-2700</v>
      </c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1"/>
      <c r="AB599" s="31"/>
      <c r="AC599" s="31"/>
      <c r="AD599" s="31"/>
      <c r="AE599" s="31"/>
      <c r="AF599" s="31"/>
      <c r="AG599" s="31"/>
    </row>
    <row r="600" spans="1:33" s="32" customFormat="1" ht="15" customHeight="1">
      <c r="A600" s="37">
        <v>44067</v>
      </c>
      <c r="B600" s="57" t="s">
        <v>39</v>
      </c>
      <c r="C600" s="20" t="s">
        <v>47</v>
      </c>
      <c r="D600" s="20">
        <v>2120</v>
      </c>
      <c r="E600" s="38">
        <v>500</v>
      </c>
      <c r="F600" s="20" t="s">
        <v>8</v>
      </c>
      <c r="G600" s="43">
        <v>22</v>
      </c>
      <c r="H600" s="43">
        <v>20</v>
      </c>
      <c r="I600" s="43">
        <v>0</v>
      </c>
      <c r="J600" s="43">
        <v>0</v>
      </c>
      <c r="K600" s="1">
        <f t="shared" ref="K600" si="1629">(IF(F600="SELL",G600-H600,IF(F600="BUY",H600-G600)))*E600</f>
        <v>-1000</v>
      </c>
      <c r="L600" s="43">
        <v>0</v>
      </c>
      <c r="M600" s="43">
        <v>0</v>
      </c>
      <c r="N600" s="1">
        <f t="shared" si="1582"/>
        <v>-2</v>
      </c>
      <c r="O600" s="1">
        <f t="shared" si="1583"/>
        <v>-1000</v>
      </c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  <c r="AC600" s="31"/>
      <c r="AD600" s="31"/>
      <c r="AE600" s="31"/>
      <c r="AF600" s="31"/>
      <c r="AG600" s="31"/>
    </row>
    <row r="601" spans="1:33" s="32" customFormat="1" ht="15" customHeight="1">
      <c r="A601" s="37">
        <v>44067</v>
      </c>
      <c r="B601" s="57" t="s">
        <v>428</v>
      </c>
      <c r="C601" s="20" t="s">
        <v>47</v>
      </c>
      <c r="D601" s="20">
        <v>530</v>
      </c>
      <c r="E601" s="38">
        <v>800</v>
      </c>
      <c r="F601" s="20" t="s">
        <v>8</v>
      </c>
      <c r="G601" s="43">
        <v>9</v>
      </c>
      <c r="H601" s="43">
        <v>11</v>
      </c>
      <c r="I601" s="43">
        <v>13</v>
      </c>
      <c r="J601" s="43">
        <v>17</v>
      </c>
      <c r="K601" s="1">
        <f t="shared" ref="K601" si="1630">(IF(F601="SELL",G601-H601,IF(F601="BUY",H601-G601)))*E601</f>
        <v>1600</v>
      </c>
      <c r="L601" s="43">
        <f>800*2</f>
        <v>1600</v>
      </c>
      <c r="M601" s="43">
        <f>800*4</f>
        <v>3200</v>
      </c>
      <c r="N601" s="1">
        <f t="shared" si="1582"/>
        <v>8</v>
      </c>
      <c r="O601" s="1">
        <f t="shared" si="1583"/>
        <v>6400</v>
      </c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1"/>
      <c r="AD601" s="31"/>
      <c r="AE601" s="31"/>
      <c r="AF601" s="31"/>
      <c r="AG601" s="31"/>
    </row>
    <row r="602" spans="1:33" s="32" customFormat="1" ht="15" customHeight="1">
      <c r="A602" s="37">
        <v>44064</v>
      </c>
      <c r="B602" s="57" t="s">
        <v>485</v>
      </c>
      <c r="C602" s="20" t="s">
        <v>47</v>
      </c>
      <c r="D602" s="20">
        <v>1500</v>
      </c>
      <c r="E602" s="38">
        <v>500</v>
      </c>
      <c r="F602" s="20" t="s">
        <v>8</v>
      </c>
      <c r="G602" s="43">
        <v>14</v>
      </c>
      <c r="H602" s="43">
        <v>9</v>
      </c>
      <c r="I602" s="43">
        <v>0</v>
      </c>
      <c r="J602" s="43">
        <v>0</v>
      </c>
      <c r="K602" s="1">
        <f t="shared" ref="K602" si="1631">(IF(F602="SELL",G602-H602,IF(F602="BUY",H602-G602)))*E602</f>
        <v>-2500</v>
      </c>
      <c r="L602" s="43">
        <v>0</v>
      </c>
      <c r="M602" s="43">
        <v>0</v>
      </c>
      <c r="N602" s="1">
        <f t="shared" si="1582"/>
        <v>-5</v>
      </c>
      <c r="O602" s="1">
        <f t="shared" si="1583"/>
        <v>-2500</v>
      </c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1"/>
      <c r="AB602" s="31"/>
      <c r="AC602" s="31"/>
      <c r="AD602" s="31"/>
      <c r="AE602" s="31"/>
      <c r="AF602" s="31"/>
      <c r="AG602" s="31"/>
    </row>
    <row r="603" spans="1:33" s="32" customFormat="1" ht="15" customHeight="1">
      <c r="A603" s="37">
        <v>44064</v>
      </c>
      <c r="B603" s="57" t="s">
        <v>13</v>
      </c>
      <c r="C603" s="20" t="s">
        <v>46</v>
      </c>
      <c r="D603" s="20">
        <v>690</v>
      </c>
      <c r="E603" s="38">
        <v>1400</v>
      </c>
      <c r="F603" s="20" t="s">
        <v>8</v>
      </c>
      <c r="G603" s="43">
        <v>5.0999999999999996</v>
      </c>
      <c r="H603" s="43">
        <v>4.5</v>
      </c>
      <c r="I603" s="43">
        <v>0</v>
      </c>
      <c r="J603" s="43">
        <v>0</v>
      </c>
      <c r="K603" s="1">
        <f t="shared" ref="K603" si="1632">(IF(F603="SELL",G603-H603,IF(F603="BUY",H603-G603)))*E603</f>
        <v>-839.99999999999955</v>
      </c>
      <c r="L603" s="43">
        <v>0</v>
      </c>
      <c r="M603" s="43">
        <v>0</v>
      </c>
      <c r="N603" s="1">
        <f t="shared" si="1582"/>
        <v>-0.59999999999999964</v>
      </c>
      <c r="O603" s="1">
        <f t="shared" si="1583"/>
        <v>-839.99999999999955</v>
      </c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  <c r="AA603" s="31"/>
      <c r="AB603" s="31"/>
      <c r="AC603" s="31"/>
      <c r="AD603" s="31"/>
      <c r="AE603" s="31"/>
      <c r="AF603" s="31"/>
      <c r="AG603" s="31"/>
    </row>
    <row r="604" spans="1:33" s="32" customFormat="1" ht="15" customHeight="1">
      <c r="A604" s="37">
        <v>44064</v>
      </c>
      <c r="B604" s="57" t="s">
        <v>420</v>
      </c>
      <c r="C604" s="20" t="s">
        <v>47</v>
      </c>
      <c r="D604" s="20">
        <v>1900</v>
      </c>
      <c r="E604" s="38">
        <v>300</v>
      </c>
      <c r="F604" s="20" t="s">
        <v>8</v>
      </c>
      <c r="G604" s="43">
        <v>26</v>
      </c>
      <c r="H604" s="43">
        <v>32</v>
      </c>
      <c r="I604" s="43">
        <v>40</v>
      </c>
      <c r="J604" s="43">
        <v>55</v>
      </c>
      <c r="K604" s="1">
        <f t="shared" ref="K604" si="1633">(IF(F604="SELL",G604-H604,IF(F604="BUY",H604-G604)))*E604</f>
        <v>1800</v>
      </c>
      <c r="L604" s="43">
        <f>300*8</f>
        <v>2400</v>
      </c>
      <c r="M604" s="43">
        <f>300*15</f>
        <v>4500</v>
      </c>
      <c r="N604" s="1">
        <f t="shared" si="1582"/>
        <v>29</v>
      </c>
      <c r="O604" s="1">
        <f t="shared" si="1583"/>
        <v>8700</v>
      </c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  <c r="AC604" s="31"/>
      <c r="AD604" s="31"/>
      <c r="AE604" s="31"/>
      <c r="AF604" s="31"/>
      <c r="AG604" s="31"/>
    </row>
    <row r="605" spans="1:33" s="32" customFormat="1" ht="15" customHeight="1">
      <c r="A605" s="37">
        <v>44063</v>
      </c>
      <c r="B605" s="57" t="s">
        <v>162</v>
      </c>
      <c r="C605" s="20" t="s">
        <v>47</v>
      </c>
      <c r="D605" s="20">
        <v>2100</v>
      </c>
      <c r="E605" s="38">
        <v>500</v>
      </c>
      <c r="F605" s="20" t="s">
        <v>8</v>
      </c>
      <c r="G605" s="43">
        <v>8.5</v>
      </c>
      <c r="H605" s="43">
        <v>8.5</v>
      </c>
      <c r="I605" s="43">
        <v>0</v>
      </c>
      <c r="J605" s="43">
        <v>0</v>
      </c>
      <c r="K605" s="1">
        <f t="shared" ref="K605" si="1634">(IF(F605="SELL",G605-H605,IF(F605="BUY",H605-G605)))*E605</f>
        <v>0</v>
      </c>
      <c r="L605" s="43">
        <v>0</v>
      </c>
      <c r="M605" s="43">
        <v>0</v>
      </c>
      <c r="N605" s="1">
        <f t="shared" si="1582"/>
        <v>0</v>
      </c>
      <c r="O605" s="1">
        <f t="shared" si="1583"/>
        <v>0</v>
      </c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1"/>
      <c r="AD605" s="31"/>
      <c r="AE605" s="31"/>
      <c r="AF605" s="31"/>
      <c r="AG605" s="31"/>
    </row>
    <row r="606" spans="1:33" s="32" customFormat="1" ht="15" customHeight="1">
      <c r="A606" s="37">
        <v>44063</v>
      </c>
      <c r="B606" s="57" t="s">
        <v>100</v>
      </c>
      <c r="C606" s="20" t="s">
        <v>47</v>
      </c>
      <c r="D606" s="20">
        <v>4500</v>
      </c>
      <c r="E606" s="38">
        <v>250</v>
      </c>
      <c r="F606" s="20" t="s">
        <v>8</v>
      </c>
      <c r="G606" s="43">
        <v>43</v>
      </c>
      <c r="H606" s="43">
        <v>51</v>
      </c>
      <c r="I606" s="43">
        <v>0</v>
      </c>
      <c r="J606" s="43">
        <v>0</v>
      </c>
      <c r="K606" s="1">
        <f t="shared" ref="K606" si="1635">(IF(F606="SELL",G606-H606,IF(F606="BUY",H606-G606)))*E606</f>
        <v>2000</v>
      </c>
      <c r="L606" s="43">
        <v>0</v>
      </c>
      <c r="M606" s="43">
        <v>0</v>
      </c>
      <c r="N606" s="1">
        <f t="shared" si="1582"/>
        <v>8</v>
      </c>
      <c r="O606" s="1">
        <f t="shared" si="1583"/>
        <v>2000</v>
      </c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1"/>
      <c r="AD606" s="31"/>
      <c r="AE606" s="31"/>
      <c r="AF606" s="31"/>
      <c r="AG606" s="31"/>
    </row>
    <row r="607" spans="1:33" s="32" customFormat="1" ht="15" customHeight="1">
      <c r="A607" s="37">
        <v>44062</v>
      </c>
      <c r="B607" s="57" t="s">
        <v>357</v>
      </c>
      <c r="C607" s="20" t="s">
        <v>47</v>
      </c>
      <c r="D607" s="20">
        <v>1200</v>
      </c>
      <c r="E607" s="38">
        <v>800</v>
      </c>
      <c r="F607" s="20" t="s">
        <v>8</v>
      </c>
      <c r="G607" s="43">
        <v>21</v>
      </c>
      <c r="H607" s="43">
        <v>16.5</v>
      </c>
      <c r="I607" s="43">
        <v>0</v>
      </c>
      <c r="J607" s="43">
        <v>0</v>
      </c>
      <c r="K607" s="1">
        <f t="shared" ref="K607" si="1636">(IF(F607="SELL",G607-H607,IF(F607="BUY",H607-G607)))*E607</f>
        <v>-3600</v>
      </c>
      <c r="L607" s="43">
        <v>2500</v>
      </c>
      <c r="M607" s="43">
        <v>0</v>
      </c>
      <c r="N607" s="1">
        <f t="shared" si="1582"/>
        <v>-1.375</v>
      </c>
      <c r="O607" s="1">
        <f t="shared" si="1583"/>
        <v>-1100</v>
      </c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1"/>
      <c r="AD607" s="31"/>
      <c r="AE607" s="31"/>
      <c r="AF607" s="31"/>
      <c r="AG607" s="31"/>
    </row>
    <row r="608" spans="1:33" s="32" customFormat="1" ht="15" customHeight="1">
      <c r="A608" s="37">
        <v>44062</v>
      </c>
      <c r="B608" s="57" t="s">
        <v>428</v>
      </c>
      <c r="C608" s="20" t="s">
        <v>47</v>
      </c>
      <c r="D608" s="20">
        <v>560</v>
      </c>
      <c r="E608" s="38">
        <v>800</v>
      </c>
      <c r="F608" s="20" t="s">
        <v>8</v>
      </c>
      <c r="G608" s="43">
        <v>10.4</v>
      </c>
      <c r="H608" s="43">
        <v>9</v>
      </c>
      <c r="I608" s="43">
        <v>0</v>
      </c>
      <c r="J608" s="43">
        <v>0</v>
      </c>
      <c r="K608" s="1">
        <f t="shared" ref="K608" si="1637">(IF(F608="SELL",G608-H608,IF(F608="BUY",H608-G608)))*E608</f>
        <v>-1120.0000000000002</v>
      </c>
      <c r="L608" s="43">
        <v>0</v>
      </c>
      <c r="M608" s="43">
        <v>0</v>
      </c>
      <c r="N608" s="1">
        <f t="shared" ref="N608:N671" si="1638">(L608+K608+M608)/E608</f>
        <v>-1.4000000000000004</v>
      </c>
      <c r="O608" s="1">
        <f t="shared" ref="O608:O671" si="1639">N608*E608</f>
        <v>-1120.0000000000002</v>
      </c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31"/>
      <c r="AB608" s="31"/>
      <c r="AC608" s="31"/>
      <c r="AD608" s="31"/>
      <c r="AE608" s="31"/>
      <c r="AF608" s="31"/>
      <c r="AG608" s="31"/>
    </row>
    <row r="609" spans="1:33" s="32" customFormat="1" ht="15" customHeight="1">
      <c r="A609" s="37">
        <v>44062</v>
      </c>
      <c r="B609" s="57" t="s">
        <v>410</v>
      </c>
      <c r="C609" s="20" t="s">
        <v>47</v>
      </c>
      <c r="D609" s="20">
        <v>1380</v>
      </c>
      <c r="E609" s="38">
        <v>500</v>
      </c>
      <c r="F609" s="20" t="s">
        <v>8</v>
      </c>
      <c r="G609" s="43">
        <v>10.5</v>
      </c>
      <c r="H609" s="43">
        <v>6</v>
      </c>
      <c r="I609" s="43">
        <v>0</v>
      </c>
      <c r="J609" s="43">
        <v>0</v>
      </c>
      <c r="K609" s="1">
        <f t="shared" ref="K609" si="1640">(IF(F609="SELL",G609-H609,IF(F609="BUY",H609-G609)))*E609</f>
        <v>-2250</v>
      </c>
      <c r="L609" s="43">
        <v>0</v>
      </c>
      <c r="M609" s="43">
        <v>0</v>
      </c>
      <c r="N609" s="1">
        <f t="shared" si="1638"/>
        <v>-4.5</v>
      </c>
      <c r="O609" s="1">
        <f t="shared" si="1639"/>
        <v>-2250</v>
      </c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  <c r="AB609" s="31"/>
      <c r="AC609" s="31"/>
      <c r="AD609" s="31"/>
      <c r="AE609" s="31"/>
      <c r="AF609" s="31"/>
      <c r="AG609" s="31"/>
    </row>
    <row r="610" spans="1:33" s="32" customFormat="1" ht="15" customHeight="1">
      <c r="A610" s="37">
        <v>44061</v>
      </c>
      <c r="B610" s="57" t="s">
        <v>100</v>
      </c>
      <c r="C610" s="20" t="s">
        <v>47</v>
      </c>
      <c r="D610" s="20">
        <v>4500</v>
      </c>
      <c r="E610" s="38">
        <v>250</v>
      </c>
      <c r="F610" s="20" t="s">
        <v>8</v>
      </c>
      <c r="G610" s="43">
        <v>35</v>
      </c>
      <c r="H610" s="43">
        <v>45</v>
      </c>
      <c r="I610" s="43">
        <v>55</v>
      </c>
      <c r="J610" s="43">
        <v>0</v>
      </c>
      <c r="K610" s="1">
        <f t="shared" ref="K610" si="1641">(IF(F610="SELL",G610-H610,IF(F610="BUY",H610-G610)))*E610</f>
        <v>2500</v>
      </c>
      <c r="L610" s="43">
        <v>2500</v>
      </c>
      <c r="M610" s="43">
        <v>0</v>
      </c>
      <c r="N610" s="1">
        <f t="shared" si="1638"/>
        <v>20</v>
      </c>
      <c r="O610" s="1">
        <f t="shared" si="1639"/>
        <v>5000</v>
      </c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  <c r="AB610" s="31"/>
      <c r="AC610" s="31"/>
      <c r="AD610" s="31"/>
      <c r="AE610" s="31"/>
      <c r="AF610" s="31"/>
      <c r="AG610" s="31"/>
    </row>
    <row r="611" spans="1:33" s="32" customFormat="1" ht="15" customHeight="1">
      <c r="A611" s="37">
        <v>44061</v>
      </c>
      <c r="B611" s="57" t="s">
        <v>461</v>
      </c>
      <c r="C611" s="20" t="s">
        <v>47</v>
      </c>
      <c r="D611" s="20">
        <v>3200</v>
      </c>
      <c r="E611" s="38">
        <v>250</v>
      </c>
      <c r="F611" s="20" t="s">
        <v>8</v>
      </c>
      <c r="G611" s="43">
        <v>46</v>
      </c>
      <c r="H611" s="43">
        <v>34</v>
      </c>
      <c r="I611" s="43">
        <v>0</v>
      </c>
      <c r="J611" s="43">
        <v>0</v>
      </c>
      <c r="K611" s="1">
        <f t="shared" ref="K611" si="1642">(IF(F611="SELL",G611-H611,IF(F611="BUY",H611-G611)))*E611</f>
        <v>-3000</v>
      </c>
      <c r="L611" s="43">
        <v>0</v>
      </c>
      <c r="M611" s="43">
        <v>0</v>
      </c>
      <c r="N611" s="1">
        <f t="shared" si="1638"/>
        <v>-12</v>
      </c>
      <c r="O611" s="1">
        <f t="shared" si="1639"/>
        <v>-3000</v>
      </c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  <c r="AB611" s="31"/>
      <c r="AC611" s="31"/>
      <c r="AD611" s="31"/>
      <c r="AE611" s="31"/>
      <c r="AF611" s="31"/>
      <c r="AG611" s="31"/>
    </row>
    <row r="612" spans="1:33" s="32" customFormat="1" ht="15" customHeight="1">
      <c r="A612" s="37">
        <v>44061</v>
      </c>
      <c r="B612" s="57" t="s">
        <v>162</v>
      </c>
      <c r="C612" s="20" t="s">
        <v>47</v>
      </c>
      <c r="D612" s="20">
        <v>2100</v>
      </c>
      <c r="E612" s="38">
        <v>500</v>
      </c>
      <c r="F612" s="20" t="s">
        <v>8</v>
      </c>
      <c r="G612" s="43">
        <v>12</v>
      </c>
      <c r="H612" s="43">
        <v>9</v>
      </c>
      <c r="I612" s="43">
        <v>0</v>
      </c>
      <c r="J612" s="43">
        <v>0</v>
      </c>
      <c r="K612" s="1">
        <f t="shared" ref="K612" si="1643">(IF(F612="SELL",G612-H612,IF(F612="BUY",H612-G612)))*E612</f>
        <v>-1500</v>
      </c>
      <c r="L612" s="43">
        <v>0</v>
      </c>
      <c r="M612" s="43">
        <v>0</v>
      </c>
      <c r="N612" s="1">
        <f t="shared" si="1638"/>
        <v>-3</v>
      </c>
      <c r="O612" s="1">
        <f t="shared" si="1639"/>
        <v>-1500</v>
      </c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  <c r="AC612" s="31"/>
      <c r="AD612" s="31"/>
      <c r="AE612" s="31"/>
      <c r="AF612" s="31"/>
      <c r="AG612" s="31"/>
    </row>
    <row r="613" spans="1:33" s="32" customFormat="1" ht="15" customHeight="1">
      <c r="A613" s="37">
        <v>44060</v>
      </c>
      <c r="B613" s="57" t="s">
        <v>487</v>
      </c>
      <c r="C613" s="20" t="s">
        <v>47</v>
      </c>
      <c r="D613" s="20">
        <v>570</v>
      </c>
      <c r="E613" s="38">
        <v>2700</v>
      </c>
      <c r="F613" s="20" t="s">
        <v>8</v>
      </c>
      <c r="G613" s="43">
        <v>5.8</v>
      </c>
      <c r="H613" s="43">
        <v>6.75</v>
      </c>
      <c r="I613" s="43">
        <v>0</v>
      </c>
      <c r="J613" s="43">
        <v>0</v>
      </c>
      <c r="K613" s="1">
        <f t="shared" ref="K613" si="1644">(IF(F613="SELL",G613-H613,IF(F613="BUY",H613-G613)))*E613</f>
        <v>2565.0000000000005</v>
      </c>
      <c r="L613" s="43">
        <v>0</v>
      </c>
      <c r="M613" s="43">
        <v>0</v>
      </c>
      <c r="N613" s="1">
        <f t="shared" si="1638"/>
        <v>0.95000000000000018</v>
      </c>
      <c r="O613" s="1">
        <f t="shared" si="1639"/>
        <v>2565.0000000000005</v>
      </c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  <c r="AB613" s="31"/>
      <c r="AC613" s="31"/>
      <c r="AD613" s="31"/>
      <c r="AE613" s="31"/>
      <c r="AF613" s="31"/>
      <c r="AG613" s="31"/>
    </row>
    <row r="614" spans="1:33" s="32" customFormat="1" ht="15" customHeight="1">
      <c r="A614" s="37">
        <v>44060</v>
      </c>
      <c r="B614" s="57" t="s">
        <v>415</v>
      </c>
      <c r="C614" s="20" t="s">
        <v>47</v>
      </c>
      <c r="D614" s="20">
        <v>2900</v>
      </c>
      <c r="E614" s="38">
        <v>300</v>
      </c>
      <c r="F614" s="20" t="s">
        <v>8</v>
      </c>
      <c r="G614" s="43">
        <v>56</v>
      </c>
      <c r="H614" s="43">
        <v>64</v>
      </c>
      <c r="I614" s="43">
        <v>75</v>
      </c>
      <c r="J614" s="43">
        <v>90</v>
      </c>
      <c r="K614" s="1">
        <f t="shared" ref="K614" si="1645">(IF(F614="SELL",G614-H614,IF(F614="BUY",H614-G614)))*E614</f>
        <v>2400</v>
      </c>
      <c r="L614" s="43">
        <f>E614*11</f>
        <v>3300</v>
      </c>
      <c r="M614" s="43">
        <f>E614*15</f>
        <v>4500</v>
      </c>
      <c r="N614" s="1">
        <f t="shared" si="1638"/>
        <v>34</v>
      </c>
      <c r="O614" s="1">
        <f t="shared" si="1639"/>
        <v>10200</v>
      </c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1"/>
      <c r="AC614" s="31"/>
      <c r="AD614" s="31"/>
      <c r="AE614" s="31"/>
      <c r="AF614" s="31"/>
      <c r="AG614" s="31"/>
    </row>
    <row r="615" spans="1:33" s="32" customFormat="1" ht="15" customHeight="1">
      <c r="A615" s="37">
        <v>44057</v>
      </c>
      <c r="B615" s="57" t="s">
        <v>34</v>
      </c>
      <c r="C615" s="20" t="s">
        <v>47</v>
      </c>
      <c r="D615" s="20">
        <v>200</v>
      </c>
      <c r="E615" s="38">
        <v>4300</v>
      </c>
      <c r="F615" s="20" t="s">
        <v>8</v>
      </c>
      <c r="G615" s="43">
        <v>2.8</v>
      </c>
      <c r="H615" s="43">
        <v>3.3</v>
      </c>
      <c r="I615" s="43">
        <v>0</v>
      </c>
      <c r="J615" s="43">
        <v>0</v>
      </c>
      <c r="K615" s="1">
        <f t="shared" ref="K615" si="1646">(IF(F615="SELL",G615-H615,IF(F615="BUY",H615-G615)))*E615</f>
        <v>2150</v>
      </c>
      <c r="L615" s="43">
        <v>0</v>
      </c>
      <c r="M615" s="43">
        <v>0</v>
      </c>
      <c r="N615" s="1">
        <f t="shared" si="1638"/>
        <v>0.5</v>
      </c>
      <c r="O615" s="1">
        <f t="shared" si="1639"/>
        <v>2150</v>
      </c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1"/>
      <c r="AD615" s="31"/>
      <c r="AE615" s="31"/>
      <c r="AF615" s="31"/>
      <c r="AG615" s="31"/>
    </row>
    <row r="616" spans="1:33" s="32" customFormat="1" ht="15" customHeight="1">
      <c r="A616" s="37">
        <v>44057</v>
      </c>
      <c r="B616" s="57" t="s">
        <v>98</v>
      </c>
      <c r="C616" s="20" t="s">
        <v>47</v>
      </c>
      <c r="D616" s="20">
        <v>440</v>
      </c>
      <c r="E616" s="38">
        <v>2700</v>
      </c>
      <c r="F616" s="20" t="s">
        <v>8</v>
      </c>
      <c r="G616" s="43">
        <v>6.1</v>
      </c>
      <c r="H616" s="43">
        <v>4.7</v>
      </c>
      <c r="I616" s="43">
        <v>0</v>
      </c>
      <c r="J616" s="43">
        <v>0</v>
      </c>
      <c r="K616" s="1">
        <f t="shared" ref="K616" si="1647">(IF(F616="SELL",G616-H616,IF(F616="BUY",H616-G616)))*E616</f>
        <v>-3779.9999999999986</v>
      </c>
      <c r="L616" s="43">
        <v>0</v>
      </c>
      <c r="M616" s="43">
        <v>0</v>
      </c>
      <c r="N616" s="1">
        <f t="shared" si="1638"/>
        <v>-1.3999999999999995</v>
      </c>
      <c r="O616" s="1">
        <f t="shared" si="1639"/>
        <v>-3779.9999999999986</v>
      </c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1"/>
      <c r="AD616" s="31"/>
      <c r="AE616" s="31"/>
      <c r="AF616" s="31"/>
      <c r="AG616" s="31"/>
    </row>
    <row r="617" spans="1:33" s="32" customFormat="1" ht="15" customHeight="1">
      <c r="A617" s="37">
        <v>44057</v>
      </c>
      <c r="B617" s="57" t="s">
        <v>467</v>
      </c>
      <c r="C617" s="20" t="s">
        <v>46</v>
      </c>
      <c r="D617" s="20">
        <v>1060</v>
      </c>
      <c r="E617" s="38">
        <v>550</v>
      </c>
      <c r="F617" s="20" t="s">
        <v>8</v>
      </c>
      <c r="G617" s="43">
        <v>27</v>
      </c>
      <c r="H617" s="43">
        <v>24</v>
      </c>
      <c r="I617" s="43">
        <v>0</v>
      </c>
      <c r="J617" s="43">
        <v>0</v>
      </c>
      <c r="K617" s="1">
        <f t="shared" ref="K617" si="1648">(IF(F617="SELL",G617-H617,IF(F617="BUY",H617-G617)))*E617</f>
        <v>-1650</v>
      </c>
      <c r="L617" s="43">
        <v>0</v>
      </c>
      <c r="M617" s="43">
        <v>0</v>
      </c>
      <c r="N617" s="1">
        <f t="shared" si="1638"/>
        <v>-3</v>
      </c>
      <c r="O617" s="1">
        <f t="shared" si="1639"/>
        <v>-1650</v>
      </c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1"/>
      <c r="AD617" s="31"/>
      <c r="AE617" s="31"/>
      <c r="AF617" s="31"/>
      <c r="AG617" s="31"/>
    </row>
    <row r="618" spans="1:33" s="32" customFormat="1" ht="15" customHeight="1">
      <c r="A618" s="37">
        <v>44056</v>
      </c>
      <c r="B618" s="57" t="s">
        <v>487</v>
      </c>
      <c r="C618" s="20" t="s">
        <v>47</v>
      </c>
      <c r="D618" s="20">
        <v>570</v>
      </c>
      <c r="E618" s="38">
        <v>2700</v>
      </c>
      <c r="F618" s="20" t="s">
        <v>8</v>
      </c>
      <c r="G618" s="43">
        <v>4.8</v>
      </c>
      <c r="H618" s="43">
        <v>5.8</v>
      </c>
      <c r="I618" s="43">
        <v>7</v>
      </c>
      <c r="J618" s="43">
        <v>0</v>
      </c>
      <c r="K618" s="1">
        <f t="shared" ref="K618" si="1649">(IF(F618="SELL",G618-H618,IF(F618="BUY",H618-G618)))*E618</f>
        <v>2700</v>
      </c>
      <c r="L618" s="43">
        <f>2700*1.2</f>
        <v>3240</v>
      </c>
      <c r="M618" s="43">
        <v>0</v>
      </c>
      <c r="N618" s="1">
        <f t="shared" si="1638"/>
        <v>2.2000000000000002</v>
      </c>
      <c r="O618" s="1">
        <f t="shared" si="1639"/>
        <v>5940.0000000000009</v>
      </c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  <c r="AC618" s="31"/>
      <c r="AD618" s="31"/>
      <c r="AE618" s="31"/>
      <c r="AF618" s="31"/>
      <c r="AG618" s="31"/>
    </row>
    <row r="619" spans="1:33" s="32" customFormat="1" ht="15" customHeight="1">
      <c r="A619" s="37">
        <v>44056</v>
      </c>
      <c r="B619" s="57" t="s">
        <v>420</v>
      </c>
      <c r="C619" s="20" t="s">
        <v>47</v>
      </c>
      <c r="D619" s="20">
        <v>1800</v>
      </c>
      <c r="E619" s="38">
        <v>300</v>
      </c>
      <c r="F619" s="20" t="s">
        <v>8</v>
      </c>
      <c r="G619" s="43">
        <v>53.5</v>
      </c>
      <c r="H619" s="43">
        <v>58</v>
      </c>
      <c r="I619" s="43">
        <v>0</v>
      </c>
      <c r="J619" s="43">
        <v>0</v>
      </c>
      <c r="K619" s="1">
        <f t="shared" ref="K619" si="1650">(IF(F619="SELL",G619-H619,IF(F619="BUY",H619-G619)))*E619</f>
        <v>1350</v>
      </c>
      <c r="L619" s="43">
        <v>0</v>
      </c>
      <c r="M619" s="43">
        <v>0</v>
      </c>
      <c r="N619" s="1">
        <f t="shared" si="1638"/>
        <v>4.5</v>
      </c>
      <c r="O619" s="1">
        <f t="shared" si="1639"/>
        <v>1350</v>
      </c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  <c r="AC619" s="31"/>
      <c r="AD619" s="31"/>
      <c r="AE619" s="31"/>
      <c r="AF619" s="31"/>
      <c r="AG619" s="31"/>
    </row>
    <row r="620" spans="1:33" s="32" customFormat="1" ht="15" customHeight="1">
      <c r="A620" s="37">
        <v>44056</v>
      </c>
      <c r="B620" s="57" t="s">
        <v>96</v>
      </c>
      <c r="C620" s="20" t="s">
        <v>47</v>
      </c>
      <c r="D620" s="20">
        <v>660</v>
      </c>
      <c r="E620" s="38">
        <v>1400</v>
      </c>
      <c r="F620" s="20" t="s">
        <v>8</v>
      </c>
      <c r="G620" s="43">
        <v>12</v>
      </c>
      <c r="H620" s="43">
        <v>9</v>
      </c>
      <c r="I620" s="43">
        <v>0</v>
      </c>
      <c r="J620" s="43">
        <v>0</v>
      </c>
      <c r="K620" s="1">
        <f t="shared" ref="K620" si="1651">(IF(F620="SELL",G620-H620,IF(F620="BUY",H620-G620)))*E620</f>
        <v>-4200</v>
      </c>
      <c r="L620" s="43">
        <v>0</v>
      </c>
      <c r="M620" s="43">
        <v>0</v>
      </c>
      <c r="N620" s="1">
        <f t="shared" si="1638"/>
        <v>-3</v>
      </c>
      <c r="O620" s="1">
        <f t="shared" si="1639"/>
        <v>-4200</v>
      </c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  <c r="AC620" s="31"/>
      <c r="AD620" s="31"/>
      <c r="AE620" s="31"/>
      <c r="AF620" s="31"/>
      <c r="AG620" s="31"/>
    </row>
    <row r="621" spans="1:33" s="32" customFormat="1" ht="15" customHeight="1">
      <c r="A621" s="37">
        <v>44056</v>
      </c>
      <c r="B621" s="57" t="s">
        <v>100</v>
      </c>
      <c r="C621" s="20" t="s">
        <v>47</v>
      </c>
      <c r="D621" s="20">
        <v>4500</v>
      </c>
      <c r="E621" s="38">
        <v>250</v>
      </c>
      <c r="F621" s="20" t="s">
        <v>8</v>
      </c>
      <c r="G621" s="43">
        <v>55</v>
      </c>
      <c r="H621" s="43">
        <v>55</v>
      </c>
      <c r="I621" s="43">
        <v>0</v>
      </c>
      <c r="J621" s="43">
        <v>0</v>
      </c>
      <c r="K621" s="1">
        <f t="shared" ref="K621" si="1652">(IF(F621="SELL",G621-H621,IF(F621="BUY",H621-G621)))*E621</f>
        <v>0</v>
      </c>
      <c r="L621" s="43">
        <v>0</v>
      </c>
      <c r="M621" s="43">
        <v>0</v>
      </c>
      <c r="N621" s="1">
        <f t="shared" si="1638"/>
        <v>0</v>
      </c>
      <c r="O621" s="1">
        <f t="shared" si="1639"/>
        <v>0</v>
      </c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1"/>
      <c r="AC621" s="31"/>
      <c r="AD621" s="31"/>
      <c r="AE621" s="31"/>
      <c r="AF621" s="31"/>
      <c r="AG621" s="31"/>
    </row>
    <row r="622" spans="1:33" s="32" customFormat="1" ht="15" customHeight="1">
      <c r="A622" s="37">
        <v>44055</v>
      </c>
      <c r="B622" s="57" t="s">
        <v>96</v>
      </c>
      <c r="C622" s="20" t="s">
        <v>47</v>
      </c>
      <c r="D622" s="20">
        <v>660</v>
      </c>
      <c r="E622" s="38">
        <v>1400</v>
      </c>
      <c r="F622" s="20" t="s">
        <v>8</v>
      </c>
      <c r="G622" s="43">
        <v>10.6</v>
      </c>
      <c r="H622" s="43">
        <v>12.6</v>
      </c>
      <c r="I622" s="43">
        <v>15</v>
      </c>
      <c r="J622" s="43">
        <v>0</v>
      </c>
      <c r="K622" s="1">
        <f t="shared" ref="K622:K623" si="1653">(IF(F622="SELL",G622-H622,IF(F622="BUY",H622-G622)))*E622</f>
        <v>2800</v>
      </c>
      <c r="L622" s="43">
        <f>1400*2.4</f>
        <v>3360</v>
      </c>
      <c r="M622" s="43">
        <v>0</v>
      </c>
      <c r="N622" s="1">
        <f t="shared" si="1638"/>
        <v>4.4000000000000004</v>
      </c>
      <c r="O622" s="1">
        <f t="shared" si="1639"/>
        <v>6160.0000000000009</v>
      </c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AB622" s="31"/>
      <c r="AC622" s="31"/>
      <c r="AD622" s="31"/>
      <c r="AE622" s="31"/>
      <c r="AF622" s="31"/>
      <c r="AG622" s="31"/>
    </row>
    <row r="623" spans="1:33" s="32" customFormat="1" ht="15" customHeight="1">
      <c r="A623" s="37">
        <v>44055</v>
      </c>
      <c r="B623" s="57" t="s">
        <v>495</v>
      </c>
      <c r="C623" s="20" t="s">
        <v>47</v>
      </c>
      <c r="D623" s="20">
        <v>25000</v>
      </c>
      <c r="E623" s="38">
        <v>35</v>
      </c>
      <c r="F623" s="20" t="s">
        <v>8</v>
      </c>
      <c r="G623" s="43">
        <v>102</v>
      </c>
      <c r="H623" s="43">
        <v>140</v>
      </c>
      <c r="I623" s="43">
        <v>0</v>
      </c>
      <c r="J623" s="43">
        <v>0</v>
      </c>
      <c r="K623" s="1">
        <f t="shared" si="1653"/>
        <v>1330</v>
      </c>
      <c r="L623" s="43">
        <v>0</v>
      </c>
      <c r="M623" s="43">
        <v>0</v>
      </c>
      <c r="N623" s="1">
        <f t="shared" si="1638"/>
        <v>38</v>
      </c>
      <c r="O623" s="1">
        <f t="shared" si="1639"/>
        <v>1330</v>
      </c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1"/>
      <c r="AD623" s="31"/>
      <c r="AE623" s="31"/>
      <c r="AF623" s="31"/>
      <c r="AG623" s="31"/>
    </row>
    <row r="624" spans="1:33" s="32" customFormat="1" ht="15" customHeight="1">
      <c r="A624" s="37">
        <v>44055</v>
      </c>
      <c r="B624" s="57" t="s">
        <v>494</v>
      </c>
      <c r="C624" s="20" t="s">
        <v>47</v>
      </c>
      <c r="D624" s="20">
        <v>470</v>
      </c>
      <c r="E624" s="38">
        <v>1200</v>
      </c>
      <c r="F624" s="20" t="s">
        <v>8</v>
      </c>
      <c r="G624" s="43">
        <v>10.7</v>
      </c>
      <c r="H624" s="43">
        <v>11.7</v>
      </c>
      <c r="I624" s="43">
        <v>0</v>
      </c>
      <c r="J624" s="43">
        <v>0</v>
      </c>
      <c r="K624" s="1">
        <f t="shared" ref="K624" si="1654">(IF(F624="SELL",G624-H624,IF(F624="BUY",H624-G624)))*E624</f>
        <v>1200</v>
      </c>
      <c r="L624" s="43">
        <v>0</v>
      </c>
      <c r="M624" s="43">
        <v>0</v>
      </c>
      <c r="N624" s="1">
        <f t="shared" si="1638"/>
        <v>1</v>
      </c>
      <c r="O624" s="1">
        <f t="shared" si="1639"/>
        <v>1200</v>
      </c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  <c r="AB624" s="31"/>
      <c r="AC624" s="31"/>
      <c r="AD624" s="31"/>
      <c r="AE624" s="31"/>
      <c r="AF624" s="31"/>
      <c r="AG624" s="31"/>
    </row>
    <row r="625" spans="1:33" s="32" customFormat="1" ht="15" customHeight="1">
      <c r="A625" s="37">
        <v>44054</v>
      </c>
      <c r="B625" s="57" t="s">
        <v>420</v>
      </c>
      <c r="C625" s="20" t="s">
        <v>47</v>
      </c>
      <c r="D625" s="20">
        <v>1840</v>
      </c>
      <c r="E625" s="38">
        <v>300</v>
      </c>
      <c r="F625" s="20" t="s">
        <v>8</v>
      </c>
      <c r="G625" s="43">
        <v>41</v>
      </c>
      <c r="H625" s="43">
        <v>50.7</v>
      </c>
      <c r="I625" s="43">
        <v>0</v>
      </c>
      <c r="J625" s="43">
        <v>0</v>
      </c>
      <c r="K625" s="1">
        <f t="shared" ref="K625" si="1655">(IF(F625="SELL",G625-H625,IF(F625="BUY",H625-G625)))*E625</f>
        <v>2910.0000000000009</v>
      </c>
      <c r="L625" s="43">
        <v>0</v>
      </c>
      <c r="M625" s="43">
        <v>0</v>
      </c>
      <c r="N625" s="1">
        <f t="shared" si="1638"/>
        <v>9.7000000000000028</v>
      </c>
      <c r="O625" s="1">
        <f t="shared" si="1639"/>
        <v>2910.0000000000009</v>
      </c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1"/>
      <c r="AD625" s="31"/>
      <c r="AE625" s="31"/>
      <c r="AF625" s="31"/>
      <c r="AG625" s="31"/>
    </row>
    <row r="626" spans="1:33" s="32" customFormat="1" ht="15" customHeight="1">
      <c r="A626" s="37">
        <v>44054</v>
      </c>
      <c r="B626" s="57" t="s">
        <v>100</v>
      </c>
      <c r="C626" s="20" t="s">
        <v>47</v>
      </c>
      <c r="D626" s="20">
        <v>4500</v>
      </c>
      <c r="E626" s="38">
        <v>250</v>
      </c>
      <c r="F626" s="20" t="s">
        <v>8</v>
      </c>
      <c r="G626" s="43">
        <v>80</v>
      </c>
      <c r="H626" s="43">
        <v>90</v>
      </c>
      <c r="I626" s="43">
        <v>0</v>
      </c>
      <c r="J626" s="43">
        <v>0</v>
      </c>
      <c r="K626" s="1">
        <f t="shared" ref="K626" si="1656">(IF(F626="SELL",G626-H626,IF(F626="BUY",H626-G626)))*E626</f>
        <v>2500</v>
      </c>
      <c r="L626" s="43">
        <v>0</v>
      </c>
      <c r="M626" s="43">
        <v>0</v>
      </c>
      <c r="N626" s="1">
        <f t="shared" si="1638"/>
        <v>10</v>
      </c>
      <c r="O626" s="1">
        <f t="shared" si="1639"/>
        <v>2500</v>
      </c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1"/>
      <c r="AD626" s="31"/>
      <c r="AE626" s="31"/>
      <c r="AF626" s="31"/>
      <c r="AG626" s="31"/>
    </row>
    <row r="627" spans="1:33" s="32" customFormat="1" ht="15" customHeight="1">
      <c r="A627" s="37">
        <v>44054</v>
      </c>
      <c r="B627" s="57" t="s">
        <v>20</v>
      </c>
      <c r="C627" s="20" t="s">
        <v>47</v>
      </c>
      <c r="D627" s="20">
        <v>1020</v>
      </c>
      <c r="E627" s="38">
        <v>1200</v>
      </c>
      <c r="F627" s="20" t="s">
        <v>8</v>
      </c>
      <c r="G627" s="43">
        <v>8.5</v>
      </c>
      <c r="H627" s="43">
        <v>7.5</v>
      </c>
      <c r="I627" s="43">
        <v>0</v>
      </c>
      <c r="J627" s="43">
        <v>0</v>
      </c>
      <c r="K627" s="1">
        <f t="shared" ref="K627:K628" si="1657">(IF(F627="SELL",G627-H627,IF(F627="BUY",H627-G627)))*E627</f>
        <v>-1200</v>
      </c>
      <c r="L627" s="43">
        <v>0</v>
      </c>
      <c r="M627" s="43">
        <v>0</v>
      </c>
      <c r="N627" s="1">
        <f t="shared" si="1638"/>
        <v>-1</v>
      </c>
      <c r="O627" s="1">
        <f t="shared" si="1639"/>
        <v>-1200</v>
      </c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1"/>
      <c r="AD627" s="31"/>
      <c r="AE627" s="31"/>
      <c r="AF627" s="31"/>
      <c r="AG627" s="31"/>
    </row>
    <row r="628" spans="1:33" s="32" customFormat="1" ht="15" customHeight="1">
      <c r="A628" s="37">
        <v>44053</v>
      </c>
      <c r="B628" s="57" t="s">
        <v>106</v>
      </c>
      <c r="C628" s="20" t="s">
        <v>47</v>
      </c>
      <c r="D628" s="20">
        <v>5200</v>
      </c>
      <c r="E628" s="38">
        <v>250</v>
      </c>
      <c r="F628" s="20" t="s">
        <v>8</v>
      </c>
      <c r="G628" s="43">
        <v>26.5</v>
      </c>
      <c r="H628" s="43">
        <v>29.5</v>
      </c>
      <c r="I628" s="43">
        <v>0</v>
      </c>
      <c r="J628" s="43">
        <v>0</v>
      </c>
      <c r="K628" s="1">
        <f t="shared" si="1657"/>
        <v>750</v>
      </c>
      <c r="L628" s="43">
        <v>0</v>
      </c>
      <c r="M628" s="43">
        <v>0</v>
      </c>
      <c r="N628" s="1">
        <f t="shared" si="1638"/>
        <v>3</v>
      </c>
      <c r="O628" s="1">
        <f t="shared" si="1639"/>
        <v>750</v>
      </c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  <c r="AB628" s="31"/>
      <c r="AC628" s="31"/>
      <c r="AD628" s="31"/>
      <c r="AE628" s="31"/>
      <c r="AF628" s="31"/>
      <c r="AG628" s="31"/>
    </row>
    <row r="629" spans="1:33" s="32" customFormat="1" ht="15" customHeight="1">
      <c r="A629" s="37">
        <v>44050</v>
      </c>
      <c r="B629" s="57" t="s">
        <v>106</v>
      </c>
      <c r="C629" s="20" t="s">
        <v>47</v>
      </c>
      <c r="D629" s="20">
        <v>5100</v>
      </c>
      <c r="E629" s="38">
        <v>250</v>
      </c>
      <c r="F629" s="20" t="s">
        <v>8</v>
      </c>
      <c r="G629" s="43">
        <v>34</v>
      </c>
      <c r="H629" s="43">
        <v>44</v>
      </c>
      <c r="I629" s="43">
        <v>0</v>
      </c>
      <c r="J629" s="43">
        <v>0</v>
      </c>
      <c r="K629" s="1">
        <f t="shared" ref="K629" si="1658">(IF(F629="SELL",G629-H629,IF(F629="BUY",H629-G629)))*E629</f>
        <v>2500</v>
      </c>
      <c r="L629" s="43">
        <v>0</v>
      </c>
      <c r="M629" s="43">
        <v>0</v>
      </c>
      <c r="N629" s="1">
        <f t="shared" si="1638"/>
        <v>10</v>
      </c>
      <c r="O629" s="1">
        <f t="shared" si="1639"/>
        <v>2500</v>
      </c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  <c r="AB629" s="31"/>
      <c r="AC629" s="31"/>
      <c r="AD629" s="31"/>
      <c r="AE629" s="31"/>
      <c r="AF629" s="31"/>
      <c r="AG629" s="31"/>
    </row>
    <row r="630" spans="1:33" s="32" customFormat="1" ht="15" customHeight="1">
      <c r="A630" s="37">
        <v>44050</v>
      </c>
      <c r="B630" s="57" t="s">
        <v>420</v>
      </c>
      <c r="C630" s="20" t="s">
        <v>47</v>
      </c>
      <c r="D630" s="20">
        <v>1760</v>
      </c>
      <c r="E630" s="38">
        <v>300</v>
      </c>
      <c r="F630" s="20" t="s">
        <v>8</v>
      </c>
      <c r="G630" s="43">
        <v>47.5</v>
      </c>
      <c r="H630" s="43">
        <v>55</v>
      </c>
      <c r="I630" s="43">
        <v>65</v>
      </c>
      <c r="J630" s="43">
        <v>80</v>
      </c>
      <c r="K630" s="1">
        <f t="shared" ref="K630" si="1659">(IF(F630="SELL",G630-H630,IF(F630="BUY",H630-G630)))*E630</f>
        <v>2250</v>
      </c>
      <c r="L630" s="43">
        <f>300*10</f>
        <v>3000</v>
      </c>
      <c r="M630" s="43">
        <f>300*15</f>
        <v>4500</v>
      </c>
      <c r="N630" s="1">
        <f t="shared" si="1638"/>
        <v>32.5</v>
      </c>
      <c r="O630" s="1">
        <f t="shared" si="1639"/>
        <v>9750</v>
      </c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  <c r="AB630" s="31"/>
      <c r="AC630" s="31"/>
      <c r="AD630" s="31"/>
      <c r="AE630" s="31"/>
      <c r="AF630" s="31"/>
      <c r="AG630" s="31"/>
    </row>
    <row r="631" spans="1:33" s="32" customFormat="1" ht="15" customHeight="1">
      <c r="A631" s="37">
        <v>44049</v>
      </c>
      <c r="B631" s="57" t="s">
        <v>32</v>
      </c>
      <c r="C631" s="20" t="s">
        <v>47</v>
      </c>
      <c r="D631" s="20">
        <v>1000</v>
      </c>
      <c r="E631" s="38">
        <v>1300</v>
      </c>
      <c r="F631" s="20" t="s">
        <v>8</v>
      </c>
      <c r="G631" s="43">
        <v>9.8000000000000007</v>
      </c>
      <c r="H631" s="43">
        <v>11.5</v>
      </c>
      <c r="I631" s="43">
        <v>13.5</v>
      </c>
      <c r="J631" s="43">
        <v>21</v>
      </c>
      <c r="K631" s="1">
        <f t="shared" ref="K631" si="1660">(IF(F631="SELL",G631-H631,IF(F631="BUY",H631-G631)))*E631</f>
        <v>2209.9999999999991</v>
      </c>
      <c r="L631" s="43">
        <f>1300*2</f>
        <v>2600</v>
      </c>
      <c r="M631" s="43">
        <f>1300*7.5</f>
        <v>9750</v>
      </c>
      <c r="N631" s="1">
        <f t="shared" si="1638"/>
        <v>11.2</v>
      </c>
      <c r="O631" s="1">
        <f t="shared" si="1639"/>
        <v>14559.999999999998</v>
      </c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  <c r="AA631" s="31"/>
      <c r="AB631" s="31"/>
      <c r="AC631" s="31"/>
      <c r="AD631" s="31"/>
      <c r="AE631" s="31"/>
      <c r="AF631" s="31"/>
      <c r="AG631" s="31"/>
    </row>
    <row r="632" spans="1:33" s="32" customFormat="1" ht="15" customHeight="1">
      <c r="A632" s="37">
        <v>44049</v>
      </c>
      <c r="B632" s="57" t="s">
        <v>475</v>
      </c>
      <c r="C632" s="20" t="s">
        <v>47</v>
      </c>
      <c r="D632" s="20">
        <v>2180</v>
      </c>
      <c r="E632" s="38">
        <v>375</v>
      </c>
      <c r="F632" s="20" t="s">
        <v>8</v>
      </c>
      <c r="G632" s="43">
        <v>44</v>
      </c>
      <c r="H632" s="43">
        <v>50</v>
      </c>
      <c r="I632" s="43">
        <v>0</v>
      </c>
      <c r="J632" s="43">
        <v>0</v>
      </c>
      <c r="K632" s="1">
        <f t="shared" ref="K632" si="1661">(IF(F632="SELL",G632-H632,IF(F632="BUY",H632-G632)))*E632</f>
        <v>2250</v>
      </c>
      <c r="L632" s="43">
        <v>0</v>
      </c>
      <c r="M632" s="43">
        <v>0</v>
      </c>
      <c r="N632" s="1">
        <f t="shared" si="1638"/>
        <v>6</v>
      </c>
      <c r="O632" s="1">
        <f t="shared" si="1639"/>
        <v>2250</v>
      </c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  <c r="AA632" s="31"/>
      <c r="AB632" s="31"/>
      <c r="AC632" s="31"/>
      <c r="AD632" s="31"/>
      <c r="AE632" s="31"/>
      <c r="AF632" s="31"/>
      <c r="AG632" s="31"/>
    </row>
    <row r="633" spans="1:33" s="32" customFormat="1" ht="15" customHeight="1">
      <c r="A633" s="37">
        <v>44049</v>
      </c>
      <c r="B633" s="57" t="s">
        <v>391</v>
      </c>
      <c r="C633" s="20" t="s">
        <v>47</v>
      </c>
      <c r="D633" s="20">
        <v>580</v>
      </c>
      <c r="E633" s="38">
        <v>1400</v>
      </c>
      <c r="F633" s="20" t="s">
        <v>8</v>
      </c>
      <c r="G633" s="43">
        <v>8</v>
      </c>
      <c r="H633" s="43">
        <v>7</v>
      </c>
      <c r="I633" s="43">
        <v>0</v>
      </c>
      <c r="J633" s="43">
        <v>0</v>
      </c>
      <c r="K633" s="1">
        <f t="shared" ref="K633" si="1662">(IF(F633="SELL",G633-H633,IF(F633="BUY",H633-G633)))*E633</f>
        <v>-1400</v>
      </c>
      <c r="L633" s="43">
        <v>0</v>
      </c>
      <c r="M633" s="43">
        <v>0</v>
      </c>
      <c r="N633" s="1">
        <f t="shared" si="1638"/>
        <v>-1</v>
      </c>
      <c r="O633" s="1">
        <f t="shared" si="1639"/>
        <v>-1400</v>
      </c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  <c r="AA633" s="31"/>
      <c r="AB633" s="31"/>
      <c r="AC633" s="31"/>
      <c r="AD633" s="31"/>
      <c r="AE633" s="31"/>
      <c r="AF633" s="31"/>
      <c r="AG633" s="31"/>
    </row>
    <row r="634" spans="1:33" s="32" customFormat="1" ht="15" customHeight="1">
      <c r="A634" s="37">
        <v>44048</v>
      </c>
      <c r="B634" s="57" t="s">
        <v>473</v>
      </c>
      <c r="C634" s="20" t="s">
        <v>47</v>
      </c>
      <c r="D634" s="20">
        <v>190</v>
      </c>
      <c r="E634" s="38">
        <v>3200</v>
      </c>
      <c r="F634" s="20" t="s">
        <v>8</v>
      </c>
      <c r="G634" s="43">
        <v>4.0999999999999996</v>
      </c>
      <c r="H634" s="43">
        <v>4.0999999999999996</v>
      </c>
      <c r="I634" s="43">
        <v>0</v>
      </c>
      <c r="J634" s="43">
        <v>0</v>
      </c>
      <c r="K634" s="1">
        <f t="shared" ref="K634" si="1663">(IF(F634="SELL",G634-H634,IF(F634="BUY",H634-G634)))*E634</f>
        <v>0</v>
      </c>
      <c r="L634" s="43">
        <v>0</v>
      </c>
      <c r="M634" s="43">
        <v>0</v>
      </c>
      <c r="N634" s="1">
        <f t="shared" si="1638"/>
        <v>0</v>
      </c>
      <c r="O634" s="1">
        <f t="shared" si="1639"/>
        <v>0</v>
      </c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  <c r="AA634" s="31"/>
      <c r="AB634" s="31"/>
      <c r="AC634" s="31"/>
      <c r="AD634" s="31"/>
      <c r="AE634" s="31"/>
      <c r="AF634" s="31"/>
      <c r="AG634" s="31"/>
    </row>
    <row r="635" spans="1:33" s="32" customFormat="1" ht="15" customHeight="1">
      <c r="A635" s="37">
        <v>44048</v>
      </c>
      <c r="B635" s="57" t="s">
        <v>357</v>
      </c>
      <c r="C635" s="20" t="s">
        <v>47</v>
      </c>
      <c r="D635" s="20">
        <v>1280</v>
      </c>
      <c r="E635" s="38">
        <v>800</v>
      </c>
      <c r="F635" s="20" t="s">
        <v>8</v>
      </c>
      <c r="G635" s="43">
        <v>9</v>
      </c>
      <c r="H635" s="43">
        <v>9</v>
      </c>
      <c r="I635" s="43">
        <v>0</v>
      </c>
      <c r="J635" s="43">
        <v>0</v>
      </c>
      <c r="K635" s="1">
        <f t="shared" ref="K635" si="1664">(IF(F635="SELL",G635-H635,IF(F635="BUY",H635-G635)))*E635</f>
        <v>0</v>
      </c>
      <c r="L635" s="43">
        <v>0</v>
      </c>
      <c r="M635" s="43">
        <v>0</v>
      </c>
      <c r="N635" s="1">
        <f t="shared" si="1638"/>
        <v>0</v>
      </c>
      <c r="O635" s="1">
        <f t="shared" si="1639"/>
        <v>0</v>
      </c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1"/>
      <c r="AD635" s="31"/>
      <c r="AE635" s="31"/>
      <c r="AF635" s="31"/>
      <c r="AG635" s="31"/>
    </row>
    <row r="636" spans="1:33" s="32" customFormat="1" ht="15" customHeight="1">
      <c r="A636" s="37">
        <v>44047</v>
      </c>
      <c r="B636" s="57" t="s">
        <v>39</v>
      </c>
      <c r="C636" s="20" t="s">
        <v>47</v>
      </c>
      <c r="D636" s="20">
        <v>2200</v>
      </c>
      <c r="E636" s="38">
        <v>500</v>
      </c>
      <c r="F636" s="20" t="s">
        <v>8</v>
      </c>
      <c r="G636" s="43">
        <v>11</v>
      </c>
      <c r="H636" s="43">
        <v>15</v>
      </c>
      <c r="I636" s="43">
        <v>20</v>
      </c>
      <c r="J636" s="43">
        <v>25.8</v>
      </c>
      <c r="K636" s="1">
        <f t="shared" ref="K636" si="1665">(IF(F636="SELL",G636-H636,IF(F636="BUY",H636-G636)))*E636</f>
        <v>2000</v>
      </c>
      <c r="L636" s="43">
        <v>2500</v>
      </c>
      <c r="M636" s="43">
        <f>5.8*500</f>
        <v>2900</v>
      </c>
      <c r="N636" s="1">
        <f t="shared" si="1638"/>
        <v>14.8</v>
      </c>
      <c r="O636" s="1">
        <f t="shared" si="1639"/>
        <v>7400</v>
      </c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1"/>
      <c r="AD636" s="31"/>
      <c r="AE636" s="31"/>
      <c r="AF636" s="31"/>
      <c r="AG636" s="31"/>
    </row>
    <row r="637" spans="1:33" s="32" customFormat="1" ht="15" customHeight="1">
      <c r="A637" s="37">
        <v>44047</v>
      </c>
      <c r="B637" s="57" t="s">
        <v>466</v>
      </c>
      <c r="C637" s="20" t="s">
        <v>47</v>
      </c>
      <c r="D637" s="20">
        <v>370</v>
      </c>
      <c r="E637" s="38">
        <v>1375</v>
      </c>
      <c r="F637" s="20" t="s">
        <v>8</v>
      </c>
      <c r="G637" s="43">
        <v>11.1</v>
      </c>
      <c r="H637" s="43">
        <v>11.85</v>
      </c>
      <c r="I637" s="43">
        <v>0</v>
      </c>
      <c r="J637" s="43">
        <v>0</v>
      </c>
      <c r="K637" s="1">
        <f t="shared" ref="K637" si="1666">(IF(F637="SELL",G637-H637,IF(F637="BUY",H637-G637)))*E637</f>
        <v>1031.25</v>
      </c>
      <c r="L637" s="43">
        <v>0</v>
      </c>
      <c r="M637" s="43">
        <v>0</v>
      </c>
      <c r="N637" s="1">
        <f t="shared" si="1638"/>
        <v>0.75</v>
      </c>
      <c r="O637" s="1">
        <f t="shared" si="1639"/>
        <v>1031.25</v>
      </c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1"/>
      <c r="AD637" s="31"/>
      <c r="AE637" s="31"/>
      <c r="AF637" s="31"/>
      <c r="AG637" s="31"/>
    </row>
    <row r="638" spans="1:33" s="32" customFormat="1" ht="15" customHeight="1">
      <c r="A638" s="37">
        <v>44047</v>
      </c>
      <c r="B638" s="57" t="s">
        <v>122</v>
      </c>
      <c r="C638" s="20" t="s">
        <v>47</v>
      </c>
      <c r="D638" s="20">
        <v>1900</v>
      </c>
      <c r="E638" s="38">
        <v>300</v>
      </c>
      <c r="F638" s="20" t="s">
        <v>8</v>
      </c>
      <c r="G638" s="43">
        <v>32</v>
      </c>
      <c r="H638" s="43">
        <v>32</v>
      </c>
      <c r="I638" s="43">
        <v>0</v>
      </c>
      <c r="J638" s="43">
        <v>0</v>
      </c>
      <c r="K638" s="1">
        <f t="shared" ref="K638" si="1667">(IF(F638="SELL",G638-H638,IF(F638="BUY",H638-G638)))*E638</f>
        <v>0</v>
      </c>
      <c r="L638" s="43">
        <v>0</v>
      </c>
      <c r="M638" s="43">
        <v>0</v>
      </c>
      <c r="N638" s="1">
        <f t="shared" si="1638"/>
        <v>0</v>
      </c>
      <c r="O638" s="1">
        <f t="shared" si="1639"/>
        <v>0</v>
      </c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  <c r="AA638" s="31"/>
      <c r="AB638" s="31"/>
      <c r="AC638" s="31"/>
      <c r="AD638" s="31"/>
      <c r="AE638" s="31"/>
      <c r="AF638" s="31"/>
      <c r="AG638" s="31"/>
    </row>
    <row r="639" spans="1:33" s="32" customFormat="1" ht="15" customHeight="1">
      <c r="A639" s="37">
        <v>44046</v>
      </c>
      <c r="B639" s="57" t="s">
        <v>106</v>
      </c>
      <c r="C639" s="20" t="s">
        <v>47</v>
      </c>
      <c r="D639" s="20">
        <v>5100</v>
      </c>
      <c r="E639" s="38">
        <v>250</v>
      </c>
      <c r="F639" s="20" t="s">
        <v>8</v>
      </c>
      <c r="G639" s="43">
        <v>35</v>
      </c>
      <c r="H639" s="43">
        <v>43</v>
      </c>
      <c r="I639" s="43">
        <v>53</v>
      </c>
      <c r="J639" s="43">
        <v>0</v>
      </c>
      <c r="K639" s="1">
        <f t="shared" ref="K639" si="1668">(IF(F639="SELL",G639-H639,IF(F639="BUY",H639-G639)))*E639</f>
        <v>2000</v>
      </c>
      <c r="L639" s="43">
        <v>2500</v>
      </c>
      <c r="M639" s="43">
        <v>0</v>
      </c>
      <c r="N639" s="1">
        <f t="shared" si="1638"/>
        <v>18</v>
      </c>
      <c r="O639" s="1">
        <f t="shared" si="1639"/>
        <v>4500</v>
      </c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  <c r="AA639" s="31"/>
      <c r="AB639" s="31"/>
      <c r="AC639" s="31"/>
      <c r="AD639" s="31"/>
      <c r="AE639" s="31"/>
      <c r="AF639" s="31"/>
      <c r="AG639" s="31"/>
    </row>
    <row r="640" spans="1:33" s="32" customFormat="1" ht="15" customHeight="1">
      <c r="A640" s="37">
        <v>44046</v>
      </c>
      <c r="B640" s="57" t="s">
        <v>26</v>
      </c>
      <c r="C640" s="20" t="s">
        <v>47</v>
      </c>
      <c r="D640" s="20">
        <v>400</v>
      </c>
      <c r="E640" s="38">
        <v>1700</v>
      </c>
      <c r="F640" s="20" t="s">
        <v>8</v>
      </c>
      <c r="G640" s="43">
        <v>7.5</v>
      </c>
      <c r="H640" s="43">
        <v>7.5</v>
      </c>
      <c r="I640" s="43">
        <v>0</v>
      </c>
      <c r="J640" s="43">
        <v>0</v>
      </c>
      <c r="K640" s="1">
        <f t="shared" ref="K640" si="1669">(IF(F640="SELL",G640-H640,IF(F640="BUY",H640-G640)))*E640</f>
        <v>0</v>
      </c>
      <c r="L640" s="43">
        <v>0</v>
      </c>
      <c r="M640" s="43">
        <v>0</v>
      </c>
      <c r="N640" s="1">
        <f t="shared" si="1638"/>
        <v>0</v>
      </c>
      <c r="O640" s="1">
        <f t="shared" si="1639"/>
        <v>0</v>
      </c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  <c r="AA640" s="31"/>
      <c r="AB640" s="31"/>
      <c r="AC640" s="31"/>
      <c r="AD640" s="31"/>
      <c r="AE640" s="31"/>
      <c r="AF640" s="31"/>
      <c r="AG640" s="31"/>
    </row>
    <row r="641" spans="1:33" s="32" customFormat="1" ht="15" customHeight="1">
      <c r="A641" s="37">
        <v>44046</v>
      </c>
      <c r="B641" s="57" t="s">
        <v>32</v>
      </c>
      <c r="C641" s="20" t="s">
        <v>47</v>
      </c>
      <c r="D641" s="20">
        <v>1000</v>
      </c>
      <c r="E641" s="38">
        <v>1300</v>
      </c>
      <c r="F641" s="20" t="s">
        <v>8</v>
      </c>
      <c r="G641" s="43">
        <v>14.3</v>
      </c>
      <c r="H641" s="43">
        <v>13.2</v>
      </c>
      <c r="I641" s="43">
        <v>0</v>
      </c>
      <c r="J641" s="43">
        <v>0</v>
      </c>
      <c r="K641" s="1">
        <f t="shared" ref="K641" si="1670">(IF(F641="SELL",G641-H641,IF(F641="BUY",H641-G641)))*E641</f>
        <v>-1430.0000000000018</v>
      </c>
      <c r="L641" s="43">
        <v>0</v>
      </c>
      <c r="M641" s="43">
        <v>0</v>
      </c>
      <c r="N641" s="1">
        <f t="shared" si="1638"/>
        <v>-1.1000000000000014</v>
      </c>
      <c r="O641" s="1">
        <f t="shared" si="1639"/>
        <v>-1430.0000000000018</v>
      </c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  <c r="AA641" s="31"/>
      <c r="AB641" s="31"/>
      <c r="AC641" s="31"/>
      <c r="AD641" s="31"/>
      <c r="AE641" s="31"/>
      <c r="AF641" s="31"/>
      <c r="AG641" s="31"/>
    </row>
    <row r="642" spans="1:33" s="32" customFormat="1" ht="15" customHeight="1">
      <c r="A642" s="37">
        <v>44046</v>
      </c>
      <c r="B642" s="57" t="s">
        <v>417</v>
      </c>
      <c r="C642" s="20" t="s">
        <v>47</v>
      </c>
      <c r="D642" s="20">
        <v>530</v>
      </c>
      <c r="E642" s="38">
        <v>2300</v>
      </c>
      <c r="F642" s="20" t="s">
        <v>8</v>
      </c>
      <c r="G642" s="43">
        <v>11.5</v>
      </c>
      <c r="H642" s="43">
        <v>11</v>
      </c>
      <c r="I642" s="43">
        <v>0</v>
      </c>
      <c r="J642" s="43">
        <v>0</v>
      </c>
      <c r="K642" s="1">
        <f t="shared" ref="K642" si="1671">(IF(F642="SELL",G642-H642,IF(F642="BUY",H642-G642)))*E642</f>
        <v>-1150</v>
      </c>
      <c r="L642" s="43">
        <v>0</v>
      </c>
      <c r="M642" s="43">
        <v>0</v>
      </c>
      <c r="N642" s="1">
        <f t="shared" si="1638"/>
        <v>-0.5</v>
      </c>
      <c r="O642" s="1">
        <f t="shared" si="1639"/>
        <v>-1150</v>
      </c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  <c r="AA642" s="31"/>
      <c r="AB642" s="31"/>
      <c r="AC642" s="31"/>
      <c r="AD642" s="31"/>
      <c r="AE642" s="31"/>
      <c r="AF642" s="31"/>
      <c r="AG642" s="31"/>
    </row>
    <row r="643" spans="1:33" s="32" customFormat="1" ht="15" customHeight="1">
      <c r="A643" s="37">
        <v>44043</v>
      </c>
      <c r="B643" s="57" t="s">
        <v>391</v>
      </c>
      <c r="C643" s="20" t="s">
        <v>47</v>
      </c>
      <c r="D643" s="20">
        <v>600</v>
      </c>
      <c r="E643" s="38">
        <v>1400</v>
      </c>
      <c r="F643" s="20" t="s">
        <v>8</v>
      </c>
      <c r="G643" s="43">
        <v>7.5</v>
      </c>
      <c r="H643" s="43">
        <v>9.5</v>
      </c>
      <c r="I643" s="43">
        <v>0</v>
      </c>
      <c r="J643" s="43">
        <v>0</v>
      </c>
      <c r="K643" s="1">
        <f t="shared" ref="K643" si="1672">(IF(F643="SELL",G643-H643,IF(F643="BUY",H643-G643)))*E643</f>
        <v>2800</v>
      </c>
      <c r="L643" s="43">
        <v>0</v>
      </c>
      <c r="M643" s="43">
        <v>0</v>
      </c>
      <c r="N643" s="1">
        <f t="shared" si="1638"/>
        <v>2</v>
      </c>
      <c r="O643" s="1">
        <f t="shared" si="1639"/>
        <v>2800</v>
      </c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  <c r="AA643" s="31"/>
      <c r="AB643" s="31"/>
      <c r="AC643" s="31"/>
      <c r="AD643" s="31"/>
      <c r="AE643" s="31"/>
      <c r="AF643" s="31"/>
      <c r="AG643" s="31"/>
    </row>
    <row r="644" spans="1:33" s="32" customFormat="1" ht="15" customHeight="1">
      <c r="A644" s="37">
        <v>44043</v>
      </c>
      <c r="B644" s="57" t="s">
        <v>32</v>
      </c>
      <c r="C644" s="20" t="s">
        <v>47</v>
      </c>
      <c r="D644" s="20">
        <v>1000</v>
      </c>
      <c r="E644" s="38">
        <v>1300</v>
      </c>
      <c r="F644" s="20" t="s">
        <v>8</v>
      </c>
      <c r="G644" s="43">
        <v>7.5</v>
      </c>
      <c r="H644" s="43">
        <v>9.5</v>
      </c>
      <c r="I644" s="43">
        <v>12.5</v>
      </c>
      <c r="J644" s="43">
        <v>17</v>
      </c>
      <c r="K644" s="1">
        <f t="shared" ref="K644" si="1673">(IF(F644="SELL",G644-H644,IF(F644="BUY",H644-G644)))*E644</f>
        <v>2600</v>
      </c>
      <c r="L644" s="43">
        <v>3900</v>
      </c>
      <c r="M644" s="43">
        <f>1300*4.5</f>
        <v>5850</v>
      </c>
      <c r="N644" s="1">
        <f t="shared" si="1638"/>
        <v>9.5</v>
      </c>
      <c r="O644" s="1">
        <f t="shared" si="1639"/>
        <v>12350</v>
      </c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  <c r="AA644" s="31"/>
      <c r="AB644" s="31"/>
      <c r="AC644" s="31"/>
      <c r="AD644" s="31"/>
      <c r="AE644" s="31"/>
      <c r="AF644" s="31"/>
      <c r="AG644" s="31"/>
    </row>
    <row r="645" spans="1:33" s="32" customFormat="1" ht="15" customHeight="1">
      <c r="A645" s="37">
        <v>44043</v>
      </c>
      <c r="B645" s="57" t="s">
        <v>13</v>
      </c>
      <c r="C645" s="20" t="s">
        <v>47</v>
      </c>
      <c r="D645" s="20">
        <v>770</v>
      </c>
      <c r="E645" s="38">
        <v>1400</v>
      </c>
      <c r="F645" s="20" t="s">
        <v>8</v>
      </c>
      <c r="G645" s="43">
        <v>11</v>
      </c>
      <c r="H645" s="43">
        <v>9</v>
      </c>
      <c r="I645" s="43">
        <v>0</v>
      </c>
      <c r="J645" s="43">
        <v>0</v>
      </c>
      <c r="K645" s="1">
        <f t="shared" ref="K645" si="1674">(IF(F645="SELL",G645-H645,IF(F645="BUY",H645-G645)))*E645</f>
        <v>-2800</v>
      </c>
      <c r="L645" s="43">
        <v>0</v>
      </c>
      <c r="M645" s="43">
        <v>0</v>
      </c>
      <c r="N645" s="1">
        <f t="shared" si="1638"/>
        <v>-2</v>
      </c>
      <c r="O645" s="1">
        <f t="shared" si="1639"/>
        <v>-2800</v>
      </c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1"/>
      <c r="AD645" s="31"/>
      <c r="AE645" s="31"/>
      <c r="AF645" s="31"/>
      <c r="AG645" s="31"/>
    </row>
    <row r="646" spans="1:33" s="32" customFormat="1" ht="15" customHeight="1">
      <c r="A646" s="37">
        <v>44042</v>
      </c>
      <c r="B646" s="57" t="s">
        <v>458</v>
      </c>
      <c r="C646" s="20" t="s">
        <v>47</v>
      </c>
      <c r="D646" s="20">
        <v>3870</v>
      </c>
      <c r="E646" s="38">
        <v>200</v>
      </c>
      <c r="F646" s="20" t="s">
        <v>8</v>
      </c>
      <c r="G646" s="43">
        <v>18</v>
      </c>
      <c r="H646" s="43">
        <v>28</v>
      </c>
      <c r="I646" s="43">
        <v>0</v>
      </c>
      <c r="J646" s="43">
        <v>0</v>
      </c>
      <c r="K646" s="1">
        <f t="shared" ref="K646" si="1675">(IF(F646="SELL",G646-H646,IF(F646="BUY",H646-G646)))*E646</f>
        <v>2000</v>
      </c>
      <c r="L646" s="43">
        <v>0</v>
      </c>
      <c r="M646" s="43">
        <v>0</v>
      </c>
      <c r="N646" s="1">
        <f t="shared" si="1638"/>
        <v>10</v>
      </c>
      <c r="O646" s="1">
        <f t="shared" si="1639"/>
        <v>2000</v>
      </c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1"/>
      <c r="AD646" s="31"/>
      <c r="AE646" s="31"/>
      <c r="AF646" s="31"/>
      <c r="AG646" s="31"/>
    </row>
    <row r="647" spans="1:33" s="32" customFormat="1" ht="15" customHeight="1">
      <c r="A647" s="37">
        <v>44042</v>
      </c>
      <c r="B647" s="57" t="s">
        <v>37</v>
      </c>
      <c r="C647" s="20" t="s">
        <v>47</v>
      </c>
      <c r="D647" s="20">
        <v>2320</v>
      </c>
      <c r="E647" s="38">
        <v>300</v>
      </c>
      <c r="F647" s="20" t="s">
        <v>8</v>
      </c>
      <c r="G647" s="43">
        <v>25</v>
      </c>
      <c r="H647" s="43">
        <v>35</v>
      </c>
      <c r="I647" s="43">
        <v>0</v>
      </c>
      <c r="J647" s="43">
        <v>0</v>
      </c>
      <c r="K647" s="1">
        <f t="shared" ref="K647" si="1676">(IF(F647="SELL",G647-H647,IF(F647="BUY",H647-G647)))*E647</f>
        <v>3000</v>
      </c>
      <c r="L647" s="43">
        <v>0</v>
      </c>
      <c r="M647" s="43">
        <v>0</v>
      </c>
      <c r="N647" s="1">
        <f t="shared" si="1638"/>
        <v>10</v>
      </c>
      <c r="O647" s="1">
        <f t="shared" si="1639"/>
        <v>3000</v>
      </c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1"/>
      <c r="AD647" s="31"/>
      <c r="AE647" s="31"/>
      <c r="AF647" s="31"/>
      <c r="AG647" s="31"/>
    </row>
    <row r="648" spans="1:33" s="32" customFormat="1" ht="15" customHeight="1">
      <c r="A648" s="37">
        <v>44041</v>
      </c>
      <c r="B648" s="57" t="s">
        <v>458</v>
      </c>
      <c r="C648" s="20" t="s">
        <v>47</v>
      </c>
      <c r="D648" s="20">
        <v>3800</v>
      </c>
      <c r="E648" s="38">
        <v>250</v>
      </c>
      <c r="F648" s="20" t="s">
        <v>8</v>
      </c>
      <c r="G648" s="43">
        <v>58</v>
      </c>
      <c r="H648" s="43">
        <v>68</v>
      </c>
      <c r="I648" s="43">
        <v>0</v>
      </c>
      <c r="J648" s="43">
        <v>0</v>
      </c>
      <c r="K648" s="1">
        <f t="shared" ref="K648" si="1677">(IF(F648="SELL",G648-H648,IF(F648="BUY",H648-G648)))*E648</f>
        <v>2500</v>
      </c>
      <c r="L648" s="43">
        <v>0</v>
      </c>
      <c r="M648" s="43">
        <v>0</v>
      </c>
      <c r="N648" s="1">
        <f t="shared" si="1638"/>
        <v>10</v>
      </c>
      <c r="O648" s="1">
        <f t="shared" si="1639"/>
        <v>2500</v>
      </c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  <c r="AA648" s="31"/>
      <c r="AB648" s="31"/>
      <c r="AC648" s="31"/>
      <c r="AD648" s="31"/>
      <c r="AE648" s="31"/>
      <c r="AF648" s="31"/>
      <c r="AG648" s="31"/>
    </row>
    <row r="649" spans="1:33" s="32" customFormat="1" ht="15" customHeight="1">
      <c r="A649" s="37">
        <v>44041</v>
      </c>
      <c r="B649" s="57" t="s">
        <v>18</v>
      </c>
      <c r="C649" s="20" t="s">
        <v>47</v>
      </c>
      <c r="D649" s="20">
        <v>660</v>
      </c>
      <c r="E649" s="38">
        <v>1300</v>
      </c>
      <c r="F649" s="20" t="s">
        <v>8</v>
      </c>
      <c r="G649" s="43">
        <v>12</v>
      </c>
      <c r="H649" s="43">
        <v>14</v>
      </c>
      <c r="I649" s="43">
        <v>16</v>
      </c>
      <c r="J649" s="43">
        <v>20</v>
      </c>
      <c r="K649" s="1">
        <f t="shared" ref="K649" si="1678">(IF(F649="SELL",G649-H649,IF(F649="BUY",H649-G649)))*E649</f>
        <v>2600</v>
      </c>
      <c r="L649" s="43">
        <f>2*1300</f>
        <v>2600</v>
      </c>
      <c r="M649" s="43">
        <f>1300*4</f>
        <v>5200</v>
      </c>
      <c r="N649" s="1">
        <f t="shared" si="1638"/>
        <v>8</v>
      </c>
      <c r="O649" s="1">
        <f t="shared" si="1639"/>
        <v>10400</v>
      </c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  <c r="AA649" s="31"/>
      <c r="AB649" s="31"/>
      <c r="AC649" s="31"/>
      <c r="AD649" s="31"/>
      <c r="AE649" s="31"/>
      <c r="AF649" s="31"/>
      <c r="AG649" s="31"/>
    </row>
    <row r="650" spans="1:33" s="32" customFormat="1" ht="15" customHeight="1">
      <c r="A650" s="37">
        <v>44040</v>
      </c>
      <c r="B650" s="57" t="s">
        <v>487</v>
      </c>
      <c r="C650" s="20" t="s">
        <v>47</v>
      </c>
      <c r="D650" s="20">
        <v>420</v>
      </c>
      <c r="E650" s="38">
        <v>2700</v>
      </c>
      <c r="F650" s="20" t="s">
        <v>8</v>
      </c>
      <c r="G650" s="43">
        <v>4.3</v>
      </c>
      <c r="H650" s="43">
        <v>5.3</v>
      </c>
      <c r="I650" s="43">
        <v>0</v>
      </c>
      <c r="J650" s="43">
        <v>0</v>
      </c>
      <c r="K650" s="1">
        <f t="shared" ref="K650:K651" si="1679">(IF(F650="SELL",G650-H650,IF(F650="BUY",H650-G650)))*E650</f>
        <v>2700</v>
      </c>
      <c r="L650" s="43">
        <v>0</v>
      </c>
      <c r="M650" s="43">
        <v>0</v>
      </c>
      <c r="N650" s="1">
        <f t="shared" si="1638"/>
        <v>1</v>
      </c>
      <c r="O650" s="1">
        <f t="shared" si="1639"/>
        <v>2700</v>
      </c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  <c r="AA650" s="31"/>
      <c r="AB650" s="31"/>
      <c r="AC650" s="31"/>
      <c r="AD650" s="31"/>
      <c r="AE650" s="31"/>
      <c r="AF650" s="31"/>
      <c r="AG650" s="31"/>
    </row>
    <row r="651" spans="1:33" s="32" customFormat="1" ht="15" customHeight="1">
      <c r="A651" s="37">
        <v>44040</v>
      </c>
      <c r="B651" s="57" t="s">
        <v>20</v>
      </c>
      <c r="C651" s="20" t="s">
        <v>47</v>
      </c>
      <c r="D651" s="20">
        <v>970</v>
      </c>
      <c r="E651" s="38">
        <v>1200</v>
      </c>
      <c r="F651" s="20" t="s">
        <v>8</v>
      </c>
      <c r="G651" s="43">
        <v>6.5</v>
      </c>
      <c r="H651" s="43">
        <v>5</v>
      </c>
      <c r="I651" s="43">
        <v>0</v>
      </c>
      <c r="J651" s="43">
        <v>0</v>
      </c>
      <c r="K651" s="1">
        <f t="shared" si="1679"/>
        <v>-1800</v>
      </c>
      <c r="L651" s="43">
        <v>0</v>
      </c>
      <c r="M651" s="43">
        <v>0</v>
      </c>
      <c r="N651" s="1">
        <f t="shared" si="1638"/>
        <v>-1.5</v>
      </c>
      <c r="O651" s="1">
        <f t="shared" si="1639"/>
        <v>-1800</v>
      </c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  <c r="AA651" s="31"/>
      <c r="AB651" s="31"/>
      <c r="AC651" s="31"/>
      <c r="AD651" s="31"/>
      <c r="AE651" s="31"/>
      <c r="AF651" s="31"/>
      <c r="AG651" s="31"/>
    </row>
    <row r="652" spans="1:33" s="32" customFormat="1" ht="15" customHeight="1">
      <c r="A652" s="37">
        <v>44040</v>
      </c>
      <c r="B652" s="57" t="s">
        <v>128</v>
      </c>
      <c r="C652" s="20" t="s">
        <v>47</v>
      </c>
      <c r="D652" s="20">
        <v>1350</v>
      </c>
      <c r="E652" s="38">
        <v>400</v>
      </c>
      <c r="F652" s="20" t="s">
        <v>8</v>
      </c>
      <c r="G652" s="43">
        <v>33</v>
      </c>
      <c r="H652" s="43">
        <v>40</v>
      </c>
      <c r="I652" s="43">
        <v>48</v>
      </c>
      <c r="J652" s="43">
        <v>0</v>
      </c>
      <c r="K652" s="1">
        <f t="shared" ref="K652" si="1680">(IF(F652="SELL",G652-H652,IF(F652="BUY",H652-G652)))*E652</f>
        <v>2800</v>
      </c>
      <c r="L652" s="43">
        <f>8*400</f>
        <v>3200</v>
      </c>
      <c r="M652" s="43">
        <v>0</v>
      </c>
      <c r="N652" s="1">
        <f t="shared" si="1638"/>
        <v>15</v>
      </c>
      <c r="O652" s="1">
        <f t="shared" si="1639"/>
        <v>6000</v>
      </c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  <c r="AA652" s="31"/>
      <c r="AB652" s="31"/>
      <c r="AC652" s="31"/>
      <c r="AD652" s="31"/>
      <c r="AE652" s="31"/>
      <c r="AF652" s="31"/>
      <c r="AG652" s="31"/>
    </row>
    <row r="653" spans="1:33" s="32" customFormat="1" ht="15" customHeight="1">
      <c r="A653" s="37">
        <v>44039</v>
      </c>
      <c r="B653" s="57" t="s">
        <v>363</v>
      </c>
      <c r="C653" s="20" t="s">
        <v>47</v>
      </c>
      <c r="D653" s="20">
        <v>1500</v>
      </c>
      <c r="E653" s="38">
        <v>750</v>
      </c>
      <c r="F653" s="20" t="s">
        <v>8</v>
      </c>
      <c r="G653" s="43">
        <v>4.5</v>
      </c>
      <c r="H653" s="43">
        <v>7.5</v>
      </c>
      <c r="I653" s="43">
        <v>0</v>
      </c>
      <c r="J653" s="43">
        <v>0</v>
      </c>
      <c r="K653" s="1">
        <f t="shared" ref="K653" si="1681">(IF(F653="SELL",G653-H653,IF(F653="BUY",H653-G653)))*E653</f>
        <v>2250</v>
      </c>
      <c r="L653" s="43">
        <v>0</v>
      </c>
      <c r="M653" s="43">
        <v>0</v>
      </c>
      <c r="N653" s="1">
        <f t="shared" si="1638"/>
        <v>3</v>
      </c>
      <c r="O653" s="1">
        <f t="shared" si="1639"/>
        <v>2250</v>
      </c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  <c r="AA653" s="31"/>
      <c r="AB653" s="31"/>
      <c r="AC653" s="31"/>
      <c r="AD653" s="31"/>
      <c r="AE653" s="31"/>
      <c r="AF653" s="31"/>
      <c r="AG653" s="31"/>
    </row>
    <row r="654" spans="1:33" s="32" customFormat="1" ht="15" customHeight="1">
      <c r="A654" s="37">
        <v>44039</v>
      </c>
      <c r="B654" s="57" t="s">
        <v>386</v>
      </c>
      <c r="C654" s="20" t="s">
        <v>47</v>
      </c>
      <c r="D654" s="20">
        <v>1100</v>
      </c>
      <c r="E654" s="38">
        <v>750</v>
      </c>
      <c r="F654" s="20" t="s">
        <v>8</v>
      </c>
      <c r="G654" s="43">
        <v>10.199999999999999</v>
      </c>
      <c r="H654" s="43">
        <v>6.5</v>
      </c>
      <c r="I654" s="43">
        <v>0</v>
      </c>
      <c r="J654" s="43">
        <v>0</v>
      </c>
      <c r="K654" s="1">
        <f t="shared" ref="K654" si="1682">(IF(F654="SELL",G654-H654,IF(F654="BUY",H654-G654)))*E654</f>
        <v>-2774.9999999999995</v>
      </c>
      <c r="L654" s="43">
        <v>0</v>
      </c>
      <c r="M654" s="43">
        <v>0</v>
      </c>
      <c r="N654" s="1">
        <f t="shared" si="1638"/>
        <v>-3.6999999999999993</v>
      </c>
      <c r="O654" s="1">
        <f t="shared" si="1639"/>
        <v>-2774.9999999999995</v>
      </c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  <c r="AA654" s="31"/>
      <c r="AB654" s="31"/>
      <c r="AC654" s="31"/>
      <c r="AD654" s="31"/>
      <c r="AE654" s="31"/>
      <c r="AF654" s="31"/>
      <c r="AG654" s="31"/>
    </row>
    <row r="655" spans="1:33" s="32" customFormat="1" ht="15" customHeight="1">
      <c r="A655" s="37">
        <v>44039</v>
      </c>
      <c r="B655" s="57" t="s">
        <v>332</v>
      </c>
      <c r="C655" s="20" t="s">
        <v>47</v>
      </c>
      <c r="D655" s="20">
        <v>700</v>
      </c>
      <c r="E655" s="38">
        <v>1200</v>
      </c>
      <c r="F655" s="20" t="s">
        <v>8</v>
      </c>
      <c r="G655" s="43">
        <v>9.5</v>
      </c>
      <c r="H655" s="43">
        <v>9.5</v>
      </c>
      <c r="I655" s="43">
        <v>0</v>
      </c>
      <c r="J655" s="43">
        <v>0</v>
      </c>
      <c r="K655" s="1">
        <f t="shared" ref="K655" si="1683">(IF(F655="SELL",G655-H655,IF(F655="BUY",H655-G655)))*E655</f>
        <v>0</v>
      </c>
      <c r="L655" s="43">
        <v>0</v>
      </c>
      <c r="M655" s="43">
        <v>0</v>
      </c>
      <c r="N655" s="1">
        <f t="shared" si="1638"/>
        <v>0</v>
      </c>
      <c r="O655" s="1">
        <f t="shared" si="1639"/>
        <v>0</v>
      </c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1"/>
      <c r="AD655" s="31"/>
      <c r="AE655" s="31"/>
      <c r="AF655" s="31"/>
      <c r="AG655" s="31"/>
    </row>
    <row r="656" spans="1:33" s="32" customFormat="1" ht="15" customHeight="1">
      <c r="A656" s="37">
        <v>44036</v>
      </c>
      <c r="B656" s="57" t="s">
        <v>17</v>
      </c>
      <c r="C656" s="20" t="s">
        <v>46</v>
      </c>
      <c r="D656" s="20">
        <v>440</v>
      </c>
      <c r="E656" s="38">
        <v>1200</v>
      </c>
      <c r="F656" s="20" t="s">
        <v>8</v>
      </c>
      <c r="G656" s="43">
        <v>9.5</v>
      </c>
      <c r="H656" s="43">
        <v>11.5</v>
      </c>
      <c r="I656" s="43">
        <v>0</v>
      </c>
      <c r="J656" s="43">
        <v>0</v>
      </c>
      <c r="K656" s="1">
        <f t="shared" ref="K656" si="1684">(IF(F656="SELL",G656-H656,IF(F656="BUY",H656-G656)))*E656</f>
        <v>2400</v>
      </c>
      <c r="L656" s="43">
        <v>0</v>
      </c>
      <c r="M656" s="43">
        <v>0</v>
      </c>
      <c r="N656" s="1">
        <f t="shared" si="1638"/>
        <v>2</v>
      </c>
      <c r="O656" s="1">
        <f t="shared" si="1639"/>
        <v>2400</v>
      </c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1"/>
      <c r="AD656" s="31"/>
      <c r="AE656" s="31"/>
      <c r="AF656" s="31"/>
      <c r="AG656" s="31"/>
    </row>
    <row r="657" spans="1:33" s="32" customFormat="1" ht="15" customHeight="1">
      <c r="A657" s="37">
        <v>44036</v>
      </c>
      <c r="B657" s="57" t="s">
        <v>466</v>
      </c>
      <c r="C657" s="20" t="s">
        <v>46</v>
      </c>
      <c r="D657" s="20">
        <v>370</v>
      </c>
      <c r="E657" s="38">
        <v>1375</v>
      </c>
      <c r="F657" s="20" t="s">
        <v>8</v>
      </c>
      <c r="G657" s="43">
        <v>8.8000000000000007</v>
      </c>
      <c r="H657" s="43">
        <v>10.8</v>
      </c>
      <c r="I657" s="43">
        <v>0</v>
      </c>
      <c r="J657" s="43">
        <v>0</v>
      </c>
      <c r="K657" s="1">
        <f t="shared" ref="K657" si="1685">(IF(F657="SELL",G657-H657,IF(F657="BUY",H657-G657)))*E657</f>
        <v>2750</v>
      </c>
      <c r="L657" s="43">
        <v>0</v>
      </c>
      <c r="M657" s="43">
        <v>0</v>
      </c>
      <c r="N657" s="1">
        <f t="shared" si="1638"/>
        <v>2</v>
      </c>
      <c r="O657" s="1">
        <f t="shared" si="1639"/>
        <v>2750</v>
      </c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1"/>
      <c r="AD657" s="31"/>
      <c r="AE657" s="31"/>
      <c r="AF657" s="31"/>
      <c r="AG657" s="31"/>
    </row>
    <row r="658" spans="1:33" s="32" customFormat="1" ht="15" customHeight="1">
      <c r="A658" s="37">
        <v>44036</v>
      </c>
      <c r="B658" s="57" t="s">
        <v>20</v>
      </c>
      <c r="C658" s="20" t="s">
        <v>47</v>
      </c>
      <c r="D658" s="20">
        <v>950</v>
      </c>
      <c r="E658" s="38">
        <v>1200</v>
      </c>
      <c r="F658" s="20" t="s">
        <v>8</v>
      </c>
      <c r="G658" s="43">
        <v>8.8000000000000007</v>
      </c>
      <c r="H658" s="43">
        <v>8.8000000000000007</v>
      </c>
      <c r="I658" s="43">
        <v>0</v>
      </c>
      <c r="J658" s="43">
        <v>0</v>
      </c>
      <c r="K658" s="1">
        <f t="shared" ref="K658" si="1686">(IF(F658="SELL",G658-H658,IF(F658="BUY",H658-G658)))*E658</f>
        <v>0</v>
      </c>
      <c r="L658" s="43">
        <v>0</v>
      </c>
      <c r="M658" s="43">
        <v>0</v>
      </c>
      <c r="N658" s="1">
        <f t="shared" si="1638"/>
        <v>0</v>
      </c>
      <c r="O658" s="1">
        <f t="shared" si="1639"/>
        <v>0</v>
      </c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1"/>
      <c r="AD658" s="31"/>
      <c r="AE658" s="31"/>
      <c r="AF658" s="31"/>
      <c r="AG658" s="31"/>
    </row>
    <row r="659" spans="1:33" s="32" customFormat="1" ht="15" customHeight="1">
      <c r="A659" s="37">
        <v>44035</v>
      </c>
      <c r="B659" s="57" t="s">
        <v>493</v>
      </c>
      <c r="C659" s="20" t="s">
        <v>47</v>
      </c>
      <c r="D659" s="20">
        <v>1060</v>
      </c>
      <c r="E659" s="38">
        <v>600</v>
      </c>
      <c r="F659" s="20" t="s">
        <v>8</v>
      </c>
      <c r="G659" s="43">
        <v>15.5</v>
      </c>
      <c r="H659" s="43">
        <v>19.5</v>
      </c>
      <c r="I659" s="43">
        <v>25</v>
      </c>
      <c r="J659" s="43">
        <v>0</v>
      </c>
      <c r="K659" s="1">
        <f t="shared" ref="K659" si="1687">(IF(F659="SELL",G659-H659,IF(F659="BUY",H659-G659)))*E659</f>
        <v>2400</v>
      </c>
      <c r="L659" s="43">
        <f>4.5*600</f>
        <v>2700</v>
      </c>
      <c r="M659" s="43">
        <v>0</v>
      </c>
      <c r="N659" s="1">
        <f t="shared" si="1638"/>
        <v>8.5</v>
      </c>
      <c r="O659" s="1">
        <f t="shared" si="1639"/>
        <v>5100</v>
      </c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1"/>
      <c r="AD659" s="31"/>
      <c r="AE659" s="31"/>
      <c r="AF659" s="31"/>
      <c r="AG659" s="31"/>
    </row>
    <row r="660" spans="1:33" s="32" customFormat="1" ht="15" customHeight="1">
      <c r="A660" s="37">
        <v>44035</v>
      </c>
      <c r="B660" s="57" t="s">
        <v>208</v>
      </c>
      <c r="C660" s="20" t="s">
        <v>47</v>
      </c>
      <c r="D660" s="20">
        <v>2400</v>
      </c>
      <c r="E660" s="38">
        <v>400</v>
      </c>
      <c r="F660" s="20" t="s">
        <v>8</v>
      </c>
      <c r="G660" s="43">
        <v>24</v>
      </c>
      <c r="H660" s="43">
        <v>32</v>
      </c>
      <c r="I660" s="43">
        <v>42</v>
      </c>
      <c r="J660" s="43">
        <v>55</v>
      </c>
      <c r="K660" s="1">
        <f t="shared" ref="K660" si="1688">(IF(F660="SELL",G660-H660,IF(F660="BUY",H660-G660)))*E660</f>
        <v>3200</v>
      </c>
      <c r="L660" s="43">
        <v>4000</v>
      </c>
      <c r="M660" s="43">
        <f>13*400</f>
        <v>5200</v>
      </c>
      <c r="N660" s="1">
        <f t="shared" si="1638"/>
        <v>31</v>
      </c>
      <c r="O660" s="1">
        <f t="shared" si="1639"/>
        <v>12400</v>
      </c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1"/>
      <c r="AD660" s="31"/>
      <c r="AE660" s="31"/>
      <c r="AF660" s="31"/>
      <c r="AG660" s="31"/>
    </row>
    <row r="661" spans="1:33" s="32" customFormat="1" ht="15" customHeight="1">
      <c r="A661" s="37">
        <v>44034</v>
      </c>
      <c r="B661" s="57" t="s">
        <v>96</v>
      </c>
      <c r="C661" s="20" t="s">
        <v>47</v>
      </c>
      <c r="D661" s="20">
        <v>630</v>
      </c>
      <c r="E661" s="38">
        <v>1400</v>
      </c>
      <c r="F661" s="20" t="s">
        <v>8</v>
      </c>
      <c r="G661" s="43">
        <v>5</v>
      </c>
      <c r="H661" s="43">
        <v>7</v>
      </c>
      <c r="I661" s="43">
        <v>0</v>
      </c>
      <c r="J661" s="43">
        <v>0</v>
      </c>
      <c r="K661" s="1">
        <f t="shared" ref="K661" si="1689">(IF(F661="SELL",G661-H661,IF(F661="BUY",H661-G661)))*E661</f>
        <v>2800</v>
      </c>
      <c r="L661" s="43">
        <f>300*14</f>
        <v>4200</v>
      </c>
      <c r="M661" s="43">
        <v>0</v>
      </c>
      <c r="N661" s="1">
        <f t="shared" si="1638"/>
        <v>5</v>
      </c>
      <c r="O661" s="1">
        <f t="shared" si="1639"/>
        <v>7000</v>
      </c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  <c r="AA661" s="31"/>
      <c r="AB661" s="31"/>
      <c r="AC661" s="31"/>
      <c r="AD661" s="31"/>
      <c r="AE661" s="31"/>
      <c r="AF661" s="31"/>
      <c r="AG661" s="31"/>
    </row>
    <row r="662" spans="1:33" s="32" customFormat="1" ht="15" customHeight="1">
      <c r="A662" s="37">
        <v>44034</v>
      </c>
      <c r="B662" s="57" t="s">
        <v>26</v>
      </c>
      <c r="C662" s="20" t="s">
        <v>47</v>
      </c>
      <c r="D662" s="20">
        <v>390</v>
      </c>
      <c r="E662" s="38">
        <v>1700</v>
      </c>
      <c r="F662" s="20" t="s">
        <v>8</v>
      </c>
      <c r="G662" s="43">
        <v>3.4</v>
      </c>
      <c r="H662" s="43">
        <v>2.2999999999999998</v>
      </c>
      <c r="I662" s="43">
        <v>0</v>
      </c>
      <c r="J662" s="43">
        <v>0</v>
      </c>
      <c r="K662" s="1">
        <f t="shared" ref="K662" si="1690">(IF(F662="SELL",G662-H662,IF(F662="BUY",H662-G662)))*E662</f>
        <v>-1870.0000000000002</v>
      </c>
      <c r="L662" s="43">
        <v>0</v>
      </c>
      <c r="M662" s="43">
        <v>0</v>
      </c>
      <c r="N662" s="1">
        <f t="shared" si="1638"/>
        <v>-1.1000000000000001</v>
      </c>
      <c r="O662" s="1">
        <f t="shared" si="1639"/>
        <v>-1870.0000000000002</v>
      </c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  <c r="AA662" s="31"/>
      <c r="AB662" s="31"/>
      <c r="AC662" s="31"/>
      <c r="AD662" s="31"/>
      <c r="AE662" s="31"/>
      <c r="AF662" s="31"/>
      <c r="AG662" s="31"/>
    </row>
    <row r="663" spans="1:33" s="32" customFormat="1" ht="15" customHeight="1">
      <c r="A663" s="37">
        <v>44034</v>
      </c>
      <c r="B663" s="57" t="s">
        <v>415</v>
      </c>
      <c r="C663" s="20" t="s">
        <v>46</v>
      </c>
      <c r="D663" s="20">
        <v>2700</v>
      </c>
      <c r="E663" s="38">
        <v>300</v>
      </c>
      <c r="F663" s="20" t="s">
        <v>8</v>
      </c>
      <c r="G663" s="43">
        <v>38</v>
      </c>
      <c r="H663" s="43">
        <v>46</v>
      </c>
      <c r="I663" s="43">
        <v>0</v>
      </c>
      <c r="J663" s="43">
        <v>0</v>
      </c>
      <c r="K663" s="1">
        <f t="shared" ref="K663" si="1691">(IF(F663="SELL",G663-H663,IF(F663="BUY",H663-G663)))*E663</f>
        <v>2400</v>
      </c>
      <c r="L663" s="43">
        <v>0</v>
      </c>
      <c r="M663" s="43">
        <v>0</v>
      </c>
      <c r="N663" s="1">
        <f t="shared" si="1638"/>
        <v>8</v>
      </c>
      <c r="O663" s="1">
        <f t="shared" si="1639"/>
        <v>2400</v>
      </c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  <c r="AC663" s="31"/>
      <c r="AD663" s="31"/>
      <c r="AE663" s="31"/>
      <c r="AF663" s="31"/>
      <c r="AG663" s="31"/>
    </row>
    <row r="664" spans="1:33" s="32" customFormat="1" ht="15" customHeight="1">
      <c r="A664" s="37">
        <v>44033</v>
      </c>
      <c r="B664" s="57" t="s">
        <v>122</v>
      </c>
      <c r="C664" s="20" t="s">
        <v>47</v>
      </c>
      <c r="D664" s="20">
        <v>1850</v>
      </c>
      <c r="E664" s="38">
        <v>300</v>
      </c>
      <c r="F664" s="20" t="s">
        <v>8</v>
      </c>
      <c r="G664" s="43">
        <v>53</v>
      </c>
      <c r="H664" s="43">
        <v>61</v>
      </c>
      <c r="I664" s="43">
        <v>75</v>
      </c>
      <c r="J664" s="43">
        <v>0</v>
      </c>
      <c r="K664" s="1">
        <f t="shared" ref="K664" si="1692">(IF(F664="SELL",G664-H664,IF(F664="BUY",H664-G664)))*E664</f>
        <v>2400</v>
      </c>
      <c r="L664" s="43">
        <f>300*14</f>
        <v>4200</v>
      </c>
      <c r="M664" s="43">
        <v>0</v>
      </c>
      <c r="N664" s="1">
        <f t="shared" si="1638"/>
        <v>22</v>
      </c>
      <c r="O664" s="1">
        <f t="shared" si="1639"/>
        <v>6600</v>
      </c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  <c r="AA664" s="31"/>
      <c r="AB664" s="31"/>
      <c r="AC664" s="31"/>
      <c r="AD664" s="31"/>
      <c r="AE664" s="31"/>
      <c r="AF664" s="31"/>
      <c r="AG664" s="31"/>
    </row>
    <row r="665" spans="1:33" s="32" customFormat="1" ht="15" customHeight="1">
      <c r="A665" s="37">
        <v>44033</v>
      </c>
      <c r="B665" s="57" t="s">
        <v>423</v>
      </c>
      <c r="C665" s="20" t="s">
        <v>46</v>
      </c>
      <c r="D665" s="20">
        <v>780</v>
      </c>
      <c r="E665" s="38">
        <v>1300</v>
      </c>
      <c r="F665" s="20" t="s">
        <v>8</v>
      </c>
      <c r="G665" s="43">
        <v>9.5</v>
      </c>
      <c r="H665" s="43">
        <v>12</v>
      </c>
      <c r="I665" s="43">
        <v>0</v>
      </c>
      <c r="J665" s="43">
        <v>0</v>
      </c>
      <c r="K665" s="1">
        <f t="shared" ref="K665" si="1693">(IF(F665="SELL",G665-H665,IF(F665="BUY",H665-G665)))*E665</f>
        <v>3250</v>
      </c>
      <c r="L665" s="43">
        <v>0</v>
      </c>
      <c r="M665" s="43">
        <v>0</v>
      </c>
      <c r="N665" s="1">
        <f t="shared" si="1638"/>
        <v>2.5</v>
      </c>
      <c r="O665" s="1">
        <f t="shared" si="1639"/>
        <v>3250</v>
      </c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1"/>
      <c r="AD665" s="31"/>
      <c r="AE665" s="31"/>
      <c r="AF665" s="31"/>
      <c r="AG665" s="31"/>
    </row>
    <row r="666" spans="1:33" s="32" customFormat="1" ht="15" customHeight="1">
      <c r="A666" s="37">
        <v>44032</v>
      </c>
      <c r="B666" s="57" t="s">
        <v>415</v>
      </c>
      <c r="C666" s="20" t="s">
        <v>47</v>
      </c>
      <c r="D666" s="20">
        <v>2800</v>
      </c>
      <c r="E666" s="38">
        <v>300</v>
      </c>
      <c r="F666" s="20" t="s">
        <v>8</v>
      </c>
      <c r="G666" s="43">
        <v>62</v>
      </c>
      <c r="H666" s="43">
        <v>72</v>
      </c>
      <c r="I666" s="43">
        <v>85</v>
      </c>
      <c r="J666" s="43">
        <v>0</v>
      </c>
      <c r="K666" s="1">
        <f t="shared" ref="K666" si="1694">(IF(F666="SELL",G666-H666,IF(F666="BUY",H666-G666)))*E666</f>
        <v>3000</v>
      </c>
      <c r="L666" s="43">
        <f>15*300</f>
        <v>4500</v>
      </c>
      <c r="M666" s="43">
        <v>0</v>
      </c>
      <c r="N666" s="1">
        <f t="shared" si="1638"/>
        <v>25</v>
      </c>
      <c r="O666" s="1">
        <f t="shared" si="1639"/>
        <v>7500</v>
      </c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1"/>
      <c r="AD666" s="31"/>
      <c r="AE666" s="31"/>
      <c r="AF666" s="31"/>
      <c r="AG666" s="31"/>
    </row>
    <row r="667" spans="1:33" s="32" customFormat="1" ht="15" customHeight="1">
      <c r="A667" s="37">
        <v>44032</v>
      </c>
      <c r="B667" s="57" t="s">
        <v>428</v>
      </c>
      <c r="C667" s="20" t="s">
        <v>47</v>
      </c>
      <c r="D667" s="20">
        <v>380</v>
      </c>
      <c r="E667" s="38">
        <v>800</v>
      </c>
      <c r="F667" s="20" t="s">
        <v>8</v>
      </c>
      <c r="G667" s="43">
        <v>12</v>
      </c>
      <c r="H667" s="43">
        <v>14.95</v>
      </c>
      <c r="I667" s="43">
        <v>0</v>
      </c>
      <c r="J667" s="43">
        <v>0</v>
      </c>
      <c r="K667" s="1">
        <f t="shared" ref="K667" si="1695">(IF(F667="SELL",G667-H667,IF(F667="BUY",H667-G667)))*E667</f>
        <v>2359.9999999999995</v>
      </c>
      <c r="L667" s="43">
        <v>0</v>
      </c>
      <c r="M667" s="43">
        <v>0</v>
      </c>
      <c r="N667" s="1">
        <f t="shared" si="1638"/>
        <v>2.9499999999999993</v>
      </c>
      <c r="O667" s="1">
        <f t="shared" si="1639"/>
        <v>2359.9999999999995</v>
      </c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1"/>
      <c r="AD667" s="31"/>
      <c r="AE667" s="31"/>
      <c r="AF667" s="31"/>
      <c r="AG667" s="31"/>
    </row>
    <row r="668" spans="1:33" s="32" customFormat="1" ht="15" customHeight="1">
      <c r="A668" s="37">
        <v>44029</v>
      </c>
      <c r="B668" s="57" t="s">
        <v>26</v>
      </c>
      <c r="C668" s="20" t="s">
        <v>47</v>
      </c>
      <c r="D668" s="20">
        <v>380</v>
      </c>
      <c r="E668" s="38">
        <v>1700</v>
      </c>
      <c r="F668" s="20" t="s">
        <v>8</v>
      </c>
      <c r="G668" s="43">
        <v>6.3</v>
      </c>
      <c r="H668" s="43">
        <v>4.8</v>
      </c>
      <c r="I668" s="43">
        <v>0</v>
      </c>
      <c r="J668" s="43">
        <v>0</v>
      </c>
      <c r="K668" s="1">
        <f t="shared" ref="K668" si="1696">(IF(F668="SELL",G668-H668,IF(F668="BUY",H668-G668)))*E668</f>
        <v>-2550</v>
      </c>
      <c r="L668" s="43">
        <v>0</v>
      </c>
      <c r="M668" s="43">
        <v>0</v>
      </c>
      <c r="N668" s="1">
        <f t="shared" si="1638"/>
        <v>-1.5</v>
      </c>
      <c r="O668" s="1">
        <f t="shared" si="1639"/>
        <v>-2550</v>
      </c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1"/>
      <c r="AD668" s="31"/>
      <c r="AE668" s="31"/>
      <c r="AF668" s="31"/>
      <c r="AG668" s="31"/>
    </row>
    <row r="669" spans="1:33" s="32" customFormat="1" ht="15" customHeight="1">
      <c r="A669" s="37">
        <v>44029</v>
      </c>
      <c r="B669" s="57" t="s">
        <v>20</v>
      </c>
      <c r="C669" s="20" t="s">
        <v>46</v>
      </c>
      <c r="D669" s="20">
        <v>860</v>
      </c>
      <c r="E669" s="38">
        <v>1200</v>
      </c>
      <c r="F669" s="20" t="s">
        <v>8</v>
      </c>
      <c r="G669" s="43">
        <v>11.8</v>
      </c>
      <c r="H669" s="43">
        <v>9.5</v>
      </c>
      <c r="I669" s="43">
        <v>0</v>
      </c>
      <c r="J669" s="43">
        <v>0</v>
      </c>
      <c r="K669" s="1">
        <f t="shared" ref="K669" si="1697">(IF(F669="SELL",G669-H669,IF(F669="BUY",H669-G669)))*E669</f>
        <v>-2760.0000000000009</v>
      </c>
      <c r="L669" s="43">
        <v>0</v>
      </c>
      <c r="M669" s="43">
        <v>0</v>
      </c>
      <c r="N669" s="1">
        <f t="shared" si="1638"/>
        <v>-2.3000000000000007</v>
      </c>
      <c r="O669" s="1">
        <f t="shared" si="1639"/>
        <v>-2760.0000000000009</v>
      </c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1"/>
      <c r="AD669" s="31"/>
      <c r="AE669" s="31"/>
      <c r="AF669" s="31"/>
      <c r="AG669" s="31"/>
    </row>
    <row r="670" spans="1:33" s="32" customFormat="1" ht="15" customHeight="1">
      <c r="A670" s="37">
        <v>44029</v>
      </c>
      <c r="B670" s="57" t="s">
        <v>492</v>
      </c>
      <c r="C670" s="20" t="s">
        <v>47</v>
      </c>
      <c r="D670" s="20">
        <v>600</v>
      </c>
      <c r="E670" s="38">
        <v>1100</v>
      </c>
      <c r="F670" s="20" t="s">
        <v>8</v>
      </c>
      <c r="G670" s="43">
        <v>21.5</v>
      </c>
      <c r="H670" s="43">
        <v>23.5</v>
      </c>
      <c r="I670" s="43">
        <v>25.5</v>
      </c>
      <c r="J670" s="43">
        <v>0</v>
      </c>
      <c r="K670" s="1">
        <f t="shared" ref="K670" si="1698">(IF(F670="SELL",G670-H670,IF(F670="BUY",H670-G670)))*E670</f>
        <v>2200</v>
      </c>
      <c r="L670" s="43">
        <v>2200</v>
      </c>
      <c r="M670" s="43">
        <v>0</v>
      </c>
      <c r="N670" s="1">
        <f t="shared" si="1638"/>
        <v>4</v>
      </c>
      <c r="O670" s="1">
        <f t="shared" si="1639"/>
        <v>4400</v>
      </c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1"/>
      <c r="AD670" s="31"/>
      <c r="AE670" s="31"/>
      <c r="AF670" s="31"/>
      <c r="AG670" s="31"/>
    </row>
    <row r="671" spans="1:33" s="32" customFormat="1" ht="15" customHeight="1">
      <c r="A671" s="37">
        <v>44028</v>
      </c>
      <c r="B671" s="57" t="s">
        <v>75</v>
      </c>
      <c r="C671" s="20" t="s">
        <v>47</v>
      </c>
      <c r="D671" s="20">
        <v>1600</v>
      </c>
      <c r="E671" s="38">
        <v>500</v>
      </c>
      <c r="F671" s="20" t="s">
        <v>8</v>
      </c>
      <c r="G671" s="43">
        <v>17</v>
      </c>
      <c r="H671" s="43">
        <v>12</v>
      </c>
      <c r="I671" s="43">
        <v>0</v>
      </c>
      <c r="J671" s="43">
        <v>0</v>
      </c>
      <c r="K671" s="1">
        <f t="shared" ref="K671" si="1699">(IF(F671="SELL",G671-H671,IF(F671="BUY",H671-G671)))*E671</f>
        <v>-2500</v>
      </c>
      <c r="L671" s="43">
        <v>0</v>
      </c>
      <c r="M671" s="43">
        <v>0</v>
      </c>
      <c r="N671" s="1">
        <f t="shared" si="1638"/>
        <v>-5</v>
      </c>
      <c r="O671" s="1">
        <f t="shared" si="1639"/>
        <v>-2500</v>
      </c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1"/>
      <c r="AD671" s="31"/>
      <c r="AE671" s="31"/>
      <c r="AF671" s="31"/>
      <c r="AG671" s="31"/>
    </row>
    <row r="672" spans="1:33" s="32" customFormat="1" ht="15" customHeight="1">
      <c r="A672" s="37">
        <v>44028</v>
      </c>
      <c r="B672" s="57" t="s">
        <v>38</v>
      </c>
      <c r="C672" s="20" t="s">
        <v>47</v>
      </c>
      <c r="D672" s="20">
        <v>6200</v>
      </c>
      <c r="E672" s="38">
        <v>100</v>
      </c>
      <c r="F672" s="20" t="s">
        <v>8</v>
      </c>
      <c r="G672" s="43">
        <v>98</v>
      </c>
      <c r="H672" s="43">
        <v>98</v>
      </c>
      <c r="I672" s="43">
        <v>0</v>
      </c>
      <c r="J672" s="43">
        <v>0</v>
      </c>
      <c r="K672" s="1">
        <f t="shared" ref="K672" si="1700">(IF(F672="SELL",G672-H672,IF(F672="BUY",H672-G672)))*E672</f>
        <v>0</v>
      </c>
      <c r="L672" s="43">
        <v>0</v>
      </c>
      <c r="M672" s="43">
        <v>0</v>
      </c>
      <c r="N672" s="1">
        <f t="shared" ref="N672:N735" si="1701">(L672+K672+M672)/E672</f>
        <v>0</v>
      </c>
      <c r="O672" s="1">
        <f t="shared" ref="O672:O735" si="1702">N672*E672</f>
        <v>0</v>
      </c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1"/>
      <c r="AD672" s="31"/>
      <c r="AE672" s="31"/>
      <c r="AF672" s="31"/>
      <c r="AG672" s="31"/>
    </row>
    <row r="673" spans="1:33" s="32" customFormat="1" ht="15" customHeight="1">
      <c r="A673" s="37">
        <v>44028</v>
      </c>
      <c r="B673" s="57" t="s">
        <v>391</v>
      </c>
      <c r="C673" s="20" t="s">
        <v>47</v>
      </c>
      <c r="D673" s="20">
        <v>520</v>
      </c>
      <c r="E673" s="38">
        <v>1400</v>
      </c>
      <c r="F673" s="20" t="s">
        <v>8</v>
      </c>
      <c r="G673" s="43">
        <v>11.8</v>
      </c>
      <c r="H673" s="43">
        <v>11.8</v>
      </c>
      <c r="I673" s="43">
        <v>0</v>
      </c>
      <c r="J673" s="43">
        <v>0</v>
      </c>
      <c r="K673" s="1">
        <f t="shared" ref="K673" si="1703">(IF(F673="SELL",G673-H673,IF(F673="BUY",H673-G673)))*E673</f>
        <v>0</v>
      </c>
      <c r="L673" s="43">
        <v>0</v>
      </c>
      <c r="M673" s="43">
        <v>0</v>
      </c>
      <c r="N673" s="1">
        <f t="shared" si="1701"/>
        <v>0</v>
      </c>
      <c r="O673" s="1">
        <f t="shared" si="1702"/>
        <v>0</v>
      </c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1"/>
      <c r="AD673" s="31"/>
      <c r="AE673" s="31"/>
      <c r="AF673" s="31"/>
      <c r="AG673" s="31"/>
    </row>
    <row r="674" spans="1:33" s="32" customFormat="1" ht="15" customHeight="1">
      <c r="A674" s="37">
        <v>44027</v>
      </c>
      <c r="B674" s="57" t="s">
        <v>37</v>
      </c>
      <c r="C674" s="20" t="s">
        <v>47</v>
      </c>
      <c r="D674" s="20">
        <v>2300</v>
      </c>
      <c r="E674" s="38">
        <v>250</v>
      </c>
      <c r="F674" s="20" t="s">
        <v>8</v>
      </c>
      <c r="G674" s="43">
        <v>31</v>
      </c>
      <c r="H674" s="43">
        <v>40</v>
      </c>
      <c r="I674" s="43">
        <v>0</v>
      </c>
      <c r="J674" s="43">
        <v>0</v>
      </c>
      <c r="K674" s="1">
        <f t="shared" ref="K674" si="1704">(IF(F674="SELL",G674-H674,IF(F674="BUY",H674-G674)))*E674</f>
        <v>2250</v>
      </c>
      <c r="L674" s="43">
        <v>0</v>
      </c>
      <c r="M674" s="43">
        <v>0</v>
      </c>
      <c r="N674" s="1">
        <f t="shared" si="1701"/>
        <v>9</v>
      </c>
      <c r="O674" s="1">
        <f t="shared" si="1702"/>
        <v>2250</v>
      </c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  <c r="AA674" s="31"/>
      <c r="AB674" s="31"/>
      <c r="AC674" s="31"/>
      <c r="AD674" s="31"/>
      <c r="AE674" s="31"/>
      <c r="AF674" s="31"/>
      <c r="AG674" s="31"/>
    </row>
    <row r="675" spans="1:33" s="32" customFormat="1" ht="15" customHeight="1">
      <c r="A675" s="37">
        <v>44027</v>
      </c>
      <c r="B675" s="57" t="s">
        <v>13</v>
      </c>
      <c r="C675" s="20" t="s">
        <v>47</v>
      </c>
      <c r="D675" s="20">
        <v>650</v>
      </c>
      <c r="E675" s="38">
        <v>1400</v>
      </c>
      <c r="F675" s="20" t="s">
        <v>8</v>
      </c>
      <c r="G675" s="43">
        <v>8</v>
      </c>
      <c r="H675" s="43">
        <v>10.5</v>
      </c>
      <c r="I675" s="43">
        <v>13</v>
      </c>
      <c r="J675" s="43">
        <v>0</v>
      </c>
      <c r="K675" s="1">
        <f t="shared" ref="K675" si="1705">(IF(F675="SELL",G675-H675,IF(F675="BUY",H675-G675)))*E675</f>
        <v>3500</v>
      </c>
      <c r="L675" s="43">
        <f>E675*2.5</f>
        <v>3500</v>
      </c>
      <c r="M675" s="43">
        <v>0</v>
      </c>
      <c r="N675" s="1">
        <f t="shared" si="1701"/>
        <v>5</v>
      </c>
      <c r="O675" s="1">
        <f t="shared" si="1702"/>
        <v>7000</v>
      </c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  <c r="AA675" s="31"/>
      <c r="AB675" s="31"/>
      <c r="AC675" s="31"/>
      <c r="AD675" s="31"/>
      <c r="AE675" s="31"/>
      <c r="AF675" s="31"/>
      <c r="AG675" s="31"/>
    </row>
    <row r="676" spans="1:33" s="32" customFormat="1" ht="15" customHeight="1">
      <c r="A676" s="37">
        <v>44027</v>
      </c>
      <c r="B676" s="57" t="s">
        <v>75</v>
      </c>
      <c r="C676" s="20" t="s">
        <v>47</v>
      </c>
      <c r="D676" s="20">
        <v>1600</v>
      </c>
      <c r="E676" s="38">
        <v>500</v>
      </c>
      <c r="F676" s="20" t="s">
        <v>8</v>
      </c>
      <c r="G676" s="43">
        <v>15.5</v>
      </c>
      <c r="H676" s="43">
        <v>15.5</v>
      </c>
      <c r="I676" s="43">
        <v>0</v>
      </c>
      <c r="J676" s="43">
        <v>0</v>
      </c>
      <c r="K676" s="1">
        <f t="shared" ref="K676" si="1706">(IF(F676="SELL",G676-H676,IF(F676="BUY",H676-G676)))*E676</f>
        <v>0</v>
      </c>
      <c r="L676" s="43">
        <v>0</v>
      </c>
      <c r="M676" s="43">
        <v>0</v>
      </c>
      <c r="N676" s="1">
        <f t="shared" si="1701"/>
        <v>0</v>
      </c>
      <c r="O676" s="1">
        <f t="shared" si="1702"/>
        <v>0</v>
      </c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  <c r="AA676" s="31"/>
      <c r="AB676" s="31"/>
      <c r="AC676" s="31"/>
      <c r="AD676" s="31"/>
      <c r="AE676" s="31"/>
      <c r="AF676" s="31"/>
      <c r="AG676" s="31"/>
    </row>
    <row r="677" spans="1:33" s="32" customFormat="1" ht="15" customHeight="1">
      <c r="A677" s="37">
        <v>44026</v>
      </c>
      <c r="B677" s="57" t="s">
        <v>98</v>
      </c>
      <c r="C677" s="20" t="s">
        <v>47</v>
      </c>
      <c r="D677" s="20">
        <v>490</v>
      </c>
      <c r="E677" s="38">
        <v>2300</v>
      </c>
      <c r="F677" s="20" t="s">
        <v>8</v>
      </c>
      <c r="G677" s="43">
        <v>5.3</v>
      </c>
      <c r="H677" s="43">
        <v>6.3</v>
      </c>
      <c r="I677" s="43">
        <v>0</v>
      </c>
      <c r="J677" s="43">
        <v>0</v>
      </c>
      <c r="K677" s="1">
        <f t="shared" ref="K677" si="1707">(IF(F677="SELL",G677-H677,IF(F677="BUY",H677-G677)))*E677</f>
        <v>2300</v>
      </c>
      <c r="L677" s="43">
        <v>0</v>
      </c>
      <c r="M677" s="43">
        <v>0</v>
      </c>
      <c r="N677" s="1">
        <f t="shared" si="1701"/>
        <v>1</v>
      </c>
      <c r="O677" s="1">
        <f t="shared" si="1702"/>
        <v>2300</v>
      </c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  <c r="AA677" s="31"/>
      <c r="AB677" s="31"/>
      <c r="AC677" s="31"/>
      <c r="AD677" s="31"/>
      <c r="AE677" s="31"/>
      <c r="AF677" s="31"/>
      <c r="AG677" s="31"/>
    </row>
    <row r="678" spans="1:33" s="32" customFormat="1" ht="15" customHeight="1">
      <c r="A678" s="37">
        <v>44026</v>
      </c>
      <c r="B678" s="57" t="s">
        <v>104</v>
      </c>
      <c r="C678" s="20" t="s">
        <v>47</v>
      </c>
      <c r="D678" s="20">
        <v>920</v>
      </c>
      <c r="E678" s="38">
        <v>850</v>
      </c>
      <c r="F678" s="20" t="s">
        <v>8</v>
      </c>
      <c r="G678" s="43">
        <v>18.2</v>
      </c>
      <c r="H678" s="43">
        <v>20.2</v>
      </c>
      <c r="I678" s="43">
        <v>0</v>
      </c>
      <c r="J678" s="43">
        <v>0</v>
      </c>
      <c r="K678" s="1">
        <f t="shared" ref="K678" si="1708">(IF(F678="SELL",G678-H678,IF(F678="BUY",H678-G678)))*E678</f>
        <v>1700</v>
      </c>
      <c r="L678" s="43">
        <v>0</v>
      </c>
      <c r="M678" s="43">
        <v>0</v>
      </c>
      <c r="N678" s="1">
        <f t="shared" si="1701"/>
        <v>2</v>
      </c>
      <c r="O678" s="1">
        <f t="shared" si="1702"/>
        <v>1700</v>
      </c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1"/>
      <c r="AD678" s="31"/>
      <c r="AE678" s="31"/>
      <c r="AF678" s="31"/>
      <c r="AG678" s="31"/>
    </row>
    <row r="679" spans="1:33" s="32" customFormat="1" ht="15" customHeight="1">
      <c r="A679" s="37">
        <v>44026</v>
      </c>
      <c r="B679" s="57" t="s">
        <v>492</v>
      </c>
      <c r="C679" s="20" t="s">
        <v>47</v>
      </c>
      <c r="D679" s="20">
        <v>650</v>
      </c>
      <c r="E679" s="38">
        <v>1100</v>
      </c>
      <c r="F679" s="20" t="s">
        <v>8</v>
      </c>
      <c r="G679" s="43">
        <v>6.2</v>
      </c>
      <c r="H679" s="43">
        <v>5.2</v>
      </c>
      <c r="I679" s="43">
        <v>0</v>
      </c>
      <c r="J679" s="43">
        <v>0</v>
      </c>
      <c r="K679" s="1">
        <f t="shared" ref="K679" si="1709">(IF(F679="SELL",G679-H679,IF(F679="BUY",H679-G679)))*E679</f>
        <v>-1100</v>
      </c>
      <c r="L679" s="43">
        <v>0</v>
      </c>
      <c r="M679" s="43">
        <v>0</v>
      </c>
      <c r="N679" s="1">
        <f t="shared" si="1701"/>
        <v>-1</v>
      </c>
      <c r="O679" s="1">
        <f t="shared" si="1702"/>
        <v>-1100</v>
      </c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1"/>
      <c r="AD679" s="31"/>
      <c r="AE679" s="31"/>
      <c r="AF679" s="31"/>
      <c r="AG679" s="31"/>
    </row>
    <row r="680" spans="1:33" s="32" customFormat="1" ht="15" customHeight="1">
      <c r="A680" s="37">
        <v>44025</v>
      </c>
      <c r="B680" s="57" t="s">
        <v>75</v>
      </c>
      <c r="C680" s="20" t="s">
        <v>47</v>
      </c>
      <c r="D680" s="20">
        <v>1500</v>
      </c>
      <c r="E680" s="38">
        <v>500</v>
      </c>
      <c r="F680" s="20" t="s">
        <v>8</v>
      </c>
      <c r="G680" s="43">
        <v>36</v>
      </c>
      <c r="H680" s="43">
        <v>40</v>
      </c>
      <c r="I680" s="43">
        <v>0</v>
      </c>
      <c r="J680" s="43">
        <v>0</v>
      </c>
      <c r="K680" s="1">
        <f t="shared" ref="K680" si="1710">(IF(F680="SELL",G680-H680,IF(F680="BUY",H680-G680)))*E680</f>
        <v>2000</v>
      </c>
      <c r="L680" s="43">
        <v>0</v>
      </c>
      <c r="M680" s="43">
        <v>0</v>
      </c>
      <c r="N680" s="1">
        <f t="shared" si="1701"/>
        <v>4</v>
      </c>
      <c r="O680" s="1">
        <f t="shared" si="1702"/>
        <v>2000</v>
      </c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1"/>
      <c r="AD680" s="31"/>
      <c r="AE680" s="31"/>
      <c r="AF680" s="31"/>
      <c r="AG680" s="31"/>
    </row>
    <row r="681" spans="1:33" s="32" customFormat="1" ht="15" customHeight="1">
      <c r="A681" s="37">
        <v>44025</v>
      </c>
      <c r="B681" s="57" t="s">
        <v>336</v>
      </c>
      <c r="C681" s="20" t="s">
        <v>47</v>
      </c>
      <c r="D681" s="20">
        <v>660</v>
      </c>
      <c r="E681" s="38">
        <v>1250</v>
      </c>
      <c r="F681" s="20" t="s">
        <v>8</v>
      </c>
      <c r="G681" s="43">
        <v>18.5</v>
      </c>
      <c r="H681" s="43">
        <v>20.7</v>
      </c>
      <c r="I681" s="43">
        <v>0</v>
      </c>
      <c r="J681" s="43">
        <v>0</v>
      </c>
      <c r="K681" s="1">
        <f t="shared" ref="K681" si="1711">(IF(F681="SELL",G681-H681,IF(F681="BUY",H681-G681)))*E681</f>
        <v>2749.9999999999991</v>
      </c>
      <c r="L681" s="43">
        <v>0</v>
      </c>
      <c r="M681" s="43">
        <v>0</v>
      </c>
      <c r="N681" s="1">
        <f t="shared" si="1701"/>
        <v>2.1999999999999993</v>
      </c>
      <c r="O681" s="1">
        <f t="shared" si="1702"/>
        <v>2749.9999999999991</v>
      </c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1"/>
      <c r="AD681" s="31"/>
      <c r="AE681" s="31"/>
      <c r="AF681" s="31"/>
      <c r="AG681" s="31"/>
    </row>
    <row r="682" spans="1:33" s="32" customFormat="1" ht="15" customHeight="1">
      <c r="A682" s="37">
        <v>44025</v>
      </c>
      <c r="B682" s="57" t="s">
        <v>39</v>
      </c>
      <c r="C682" s="20" t="s">
        <v>47</v>
      </c>
      <c r="D682" s="20">
        <v>2120</v>
      </c>
      <c r="E682" s="38">
        <v>550</v>
      </c>
      <c r="F682" s="20" t="s">
        <v>8</v>
      </c>
      <c r="G682" s="43">
        <v>30</v>
      </c>
      <c r="H682" s="43">
        <v>23</v>
      </c>
      <c r="I682" s="43">
        <v>0</v>
      </c>
      <c r="J682" s="43">
        <v>0</v>
      </c>
      <c r="K682" s="1">
        <f t="shared" ref="K682" si="1712">(IF(F682="SELL",G682-H682,IF(F682="BUY",H682-G682)))*E682</f>
        <v>-3850</v>
      </c>
      <c r="L682" s="43">
        <v>0</v>
      </c>
      <c r="M682" s="43">
        <v>0</v>
      </c>
      <c r="N682" s="1">
        <f t="shared" si="1701"/>
        <v>-7</v>
      </c>
      <c r="O682" s="1">
        <f t="shared" si="1702"/>
        <v>-3850</v>
      </c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1"/>
      <c r="AD682" s="31"/>
      <c r="AE682" s="31"/>
      <c r="AF682" s="31"/>
      <c r="AG682" s="31"/>
    </row>
    <row r="683" spans="1:33" s="32" customFormat="1" ht="15" customHeight="1">
      <c r="A683" s="37">
        <v>44022</v>
      </c>
      <c r="B683" s="57" t="s">
        <v>491</v>
      </c>
      <c r="C683" s="20" t="s">
        <v>47</v>
      </c>
      <c r="D683" s="20">
        <v>660</v>
      </c>
      <c r="E683" s="38">
        <v>1250</v>
      </c>
      <c r="F683" s="20" t="s">
        <v>8</v>
      </c>
      <c r="G683" s="43">
        <v>18.5</v>
      </c>
      <c r="H683" s="43">
        <v>20.7</v>
      </c>
      <c r="I683" s="43">
        <v>0</v>
      </c>
      <c r="J683" s="43">
        <v>0</v>
      </c>
      <c r="K683" s="1">
        <f t="shared" ref="K683" si="1713">(IF(F683="SELL",G683-H683,IF(F683="BUY",H683-G683)))*E683</f>
        <v>2749.9999999999991</v>
      </c>
      <c r="L683" s="43">
        <v>0</v>
      </c>
      <c r="M683" s="43">
        <v>0</v>
      </c>
      <c r="N683" s="1">
        <f t="shared" si="1701"/>
        <v>2.1999999999999993</v>
      </c>
      <c r="O683" s="1">
        <f t="shared" si="1702"/>
        <v>2749.9999999999991</v>
      </c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1"/>
      <c r="AD683" s="31"/>
      <c r="AE683" s="31"/>
      <c r="AF683" s="31"/>
      <c r="AG683" s="31"/>
    </row>
    <row r="684" spans="1:33" s="32" customFormat="1" ht="15" customHeight="1">
      <c r="A684" s="37">
        <v>44022</v>
      </c>
      <c r="B684" s="57" t="s">
        <v>270</v>
      </c>
      <c r="C684" s="20" t="s">
        <v>47</v>
      </c>
      <c r="D684" s="20">
        <v>190</v>
      </c>
      <c r="E684" s="38">
        <v>5000</v>
      </c>
      <c r="F684" s="20" t="s">
        <v>8</v>
      </c>
      <c r="G684" s="43">
        <v>3.2</v>
      </c>
      <c r="H684" s="43">
        <v>3.95</v>
      </c>
      <c r="I684" s="43">
        <v>0</v>
      </c>
      <c r="J684" s="43">
        <v>0</v>
      </c>
      <c r="K684" s="1">
        <f t="shared" ref="K684:K689" si="1714">(IF(F684="SELL",G684-H684,IF(F684="BUY",H684-G684)))*E684</f>
        <v>3750</v>
      </c>
      <c r="L684" s="43">
        <v>0</v>
      </c>
      <c r="M684" s="43">
        <v>0</v>
      </c>
      <c r="N684" s="1">
        <f t="shared" si="1701"/>
        <v>0.75</v>
      </c>
      <c r="O684" s="1">
        <f t="shared" si="1702"/>
        <v>3750</v>
      </c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  <c r="AA684" s="31"/>
      <c r="AB684" s="31"/>
      <c r="AC684" s="31"/>
      <c r="AD684" s="31"/>
      <c r="AE684" s="31"/>
      <c r="AF684" s="31"/>
      <c r="AG684" s="31"/>
    </row>
    <row r="685" spans="1:33" s="32" customFormat="1" ht="15" customHeight="1">
      <c r="A685" s="37">
        <v>44021</v>
      </c>
      <c r="B685" s="57" t="s">
        <v>446</v>
      </c>
      <c r="C685" s="20" t="s">
        <v>47</v>
      </c>
      <c r="D685" s="20">
        <v>2240</v>
      </c>
      <c r="E685" s="38">
        <v>300</v>
      </c>
      <c r="F685" s="20" t="s">
        <v>8</v>
      </c>
      <c r="G685" s="43">
        <v>58</v>
      </c>
      <c r="H685" s="43">
        <v>45</v>
      </c>
      <c r="I685" s="43">
        <v>0</v>
      </c>
      <c r="J685" s="43">
        <v>0</v>
      </c>
      <c r="K685" s="1">
        <f t="shared" si="1714"/>
        <v>-3900</v>
      </c>
      <c r="L685" s="43">
        <v>0</v>
      </c>
      <c r="M685" s="43">
        <v>0</v>
      </c>
      <c r="N685" s="1">
        <f t="shared" si="1701"/>
        <v>-13</v>
      </c>
      <c r="O685" s="1">
        <f t="shared" si="1702"/>
        <v>-3900</v>
      </c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  <c r="AA685" s="31"/>
      <c r="AB685" s="31"/>
      <c r="AC685" s="31"/>
      <c r="AD685" s="31"/>
      <c r="AE685" s="31"/>
      <c r="AF685" s="31"/>
      <c r="AG685" s="31"/>
    </row>
    <row r="686" spans="1:33" s="32" customFormat="1" ht="15" customHeight="1">
      <c r="A686" s="37">
        <v>44021</v>
      </c>
      <c r="B686" s="57" t="s">
        <v>122</v>
      </c>
      <c r="C686" s="20" t="s">
        <v>47</v>
      </c>
      <c r="D686" s="20">
        <v>1940</v>
      </c>
      <c r="E686" s="38">
        <v>300</v>
      </c>
      <c r="F686" s="20" t="s">
        <v>8</v>
      </c>
      <c r="G686" s="43">
        <v>53</v>
      </c>
      <c r="H686" s="43">
        <v>63</v>
      </c>
      <c r="I686" s="43">
        <v>79</v>
      </c>
      <c r="J686" s="43">
        <v>0</v>
      </c>
      <c r="K686" s="1">
        <f t="shared" ref="K686" si="1715">(IF(F686="SELL",G686-H686,IF(F686="BUY",H686-G686)))*E686</f>
        <v>3000</v>
      </c>
      <c r="L686" s="43">
        <f>16*300</f>
        <v>4800</v>
      </c>
      <c r="M686" s="43">
        <v>0</v>
      </c>
      <c r="N686" s="1">
        <f t="shared" si="1701"/>
        <v>26</v>
      </c>
      <c r="O686" s="1">
        <f t="shared" si="1702"/>
        <v>7800</v>
      </c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  <c r="AA686" s="31"/>
      <c r="AB686" s="31"/>
      <c r="AC686" s="31"/>
      <c r="AD686" s="31"/>
      <c r="AE686" s="31"/>
      <c r="AF686" s="31"/>
      <c r="AG686" s="31"/>
    </row>
    <row r="687" spans="1:33" s="32" customFormat="1" ht="15" customHeight="1">
      <c r="A687" s="37">
        <v>44021</v>
      </c>
      <c r="B687" s="57" t="s">
        <v>39</v>
      </c>
      <c r="C687" s="20" t="s">
        <v>47</v>
      </c>
      <c r="D687" s="20">
        <v>1900</v>
      </c>
      <c r="E687" s="38">
        <v>550</v>
      </c>
      <c r="F687" s="20" t="s">
        <v>8</v>
      </c>
      <c r="G687" s="43">
        <v>42</v>
      </c>
      <c r="H687" s="43">
        <v>50</v>
      </c>
      <c r="I687" s="43">
        <v>0</v>
      </c>
      <c r="J687" s="43">
        <v>0</v>
      </c>
      <c r="K687" s="1">
        <f t="shared" si="1714"/>
        <v>4400</v>
      </c>
      <c r="L687" s="43">
        <v>0</v>
      </c>
      <c r="M687" s="43">
        <v>0</v>
      </c>
      <c r="N687" s="1">
        <f t="shared" si="1701"/>
        <v>8</v>
      </c>
      <c r="O687" s="1">
        <f t="shared" si="1702"/>
        <v>4400</v>
      </c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  <c r="AA687" s="31"/>
      <c r="AB687" s="31"/>
      <c r="AC687" s="31"/>
      <c r="AD687" s="31"/>
      <c r="AE687" s="31"/>
      <c r="AF687" s="31"/>
      <c r="AG687" s="31"/>
    </row>
    <row r="688" spans="1:33" s="32" customFormat="1" ht="15" customHeight="1">
      <c r="A688" s="37">
        <v>44020</v>
      </c>
      <c r="B688" s="57" t="s">
        <v>458</v>
      </c>
      <c r="C688" s="20" t="s">
        <v>47</v>
      </c>
      <c r="D688" s="20">
        <v>300</v>
      </c>
      <c r="E688" s="38">
        <v>200</v>
      </c>
      <c r="F688" s="20" t="s">
        <v>8</v>
      </c>
      <c r="G688" s="43">
        <v>112</v>
      </c>
      <c r="H688" s="43">
        <v>125</v>
      </c>
      <c r="I688" s="43">
        <v>0</v>
      </c>
      <c r="J688" s="43">
        <v>0</v>
      </c>
      <c r="K688" s="1">
        <f t="shared" ref="K688" si="1716">(IF(F688="SELL",G688-H688,IF(F688="BUY",H688-G688)))*E688</f>
        <v>2600</v>
      </c>
      <c r="L688" s="43">
        <v>0</v>
      </c>
      <c r="M688" s="43">
        <v>0</v>
      </c>
      <c r="N688" s="1">
        <f t="shared" si="1701"/>
        <v>13</v>
      </c>
      <c r="O688" s="1">
        <f t="shared" si="1702"/>
        <v>2600</v>
      </c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  <c r="AA688" s="31"/>
      <c r="AB688" s="31"/>
      <c r="AC688" s="31"/>
      <c r="AD688" s="31"/>
      <c r="AE688" s="31"/>
      <c r="AF688" s="31"/>
      <c r="AG688" s="31"/>
    </row>
    <row r="689" spans="1:33" s="32" customFormat="1" ht="15" customHeight="1">
      <c r="A689" s="37">
        <v>44020</v>
      </c>
      <c r="B689" s="57" t="s">
        <v>456</v>
      </c>
      <c r="C689" s="20" t="s">
        <v>47</v>
      </c>
      <c r="D689" s="20">
        <v>1450</v>
      </c>
      <c r="E689" s="38">
        <v>400</v>
      </c>
      <c r="F689" s="20" t="s">
        <v>8</v>
      </c>
      <c r="G689" s="43">
        <v>24.5</v>
      </c>
      <c r="H689" s="43">
        <v>21</v>
      </c>
      <c r="I689" s="43">
        <v>0</v>
      </c>
      <c r="J689" s="43">
        <v>0</v>
      </c>
      <c r="K689" s="1">
        <f t="shared" si="1714"/>
        <v>-1400</v>
      </c>
      <c r="L689" s="43">
        <v>0</v>
      </c>
      <c r="M689" s="43">
        <v>0</v>
      </c>
      <c r="N689" s="1">
        <f t="shared" si="1701"/>
        <v>-3.5</v>
      </c>
      <c r="O689" s="1">
        <f t="shared" si="1702"/>
        <v>-1400</v>
      </c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  <c r="AA689" s="31"/>
      <c r="AB689" s="31"/>
      <c r="AC689" s="31"/>
      <c r="AD689" s="31"/>
      <c r="AE689" s="31"/>
      <c r="AF689" s="31"/>
      <c r="AG689" s="31"/>
    </row>
    <row r="690" spans="1:33" s="32" customFormat="1" ht="15" customHeight="1">
      <c r="A690" s="37">
        <v>44019</v>
      </c>
      <c r="B690" s="57" t="s">
        <v>466</v>
      </c>
      <c r="C690" s="20" t="s">
        <v>47</v>
      </c>
      <c r="D690" s="20">
        <v>390</v>
      </c>
      <c r="E690" s="38">
        <v>1375</v>
      </c>
      <c r="F690" s="20" t="s">
        <v>8</v>
      </c>
      <c r="G690" s="43">
        <v>10</v>
      </c>
      <c r="H690" s="43">
        <v>12</v>
      </c>
      <c r="I690" s="43">
        <v>0</v>
      </c>
      <c r="J690" s="43">
        <v>0</v>
      </c>
      <c r="K690" s="1">
        <f t="shared" ref="K690" si="1717">(IF(F690="SELL",G690-H690,IF(F690="BUY",H690-G690)))*E690</f>
        <v>2750</v>
      </c>
      <c r="L690" s="43">
        <v>0</v>
      </c>
      <c r="M690" s="43">
        <v>0</v>
      </c>
      <c r="N690" s="1">
        <f t="shared" si="1701"/>
        <v>2</v>
      </c>
      <c r="O690" s="1">
        <f t="shared" si="1702"/>
        <v>2750</v>
      </c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  <c r="AA690" s="31"/>
      <c r="AB690" s="31"/>
      <c r="AC690" s="31"/>
      <c r="AD690" s="31"/>
      <c r="AE690" s="31"/>
      <c r="AF690" s="31"/>
      <c r="AG690" s="31"/>
    </row>
    <row r="691" spans="1:33" s="32" customFormat="1" ht="15" customHeight="1">
      <c r="A691" s="37">
        <v>44019</v>
      </c>
      <c r="B691" s="57" t="s">
        <v>458</v>
      </c>
      <c r="C691" s="20" t="s">
        <v>47</v>
      </c>
      <c r="D691" s="20">
        <v>3700</v>
      </c>
      <c r="E691" s="38">
        <v>200</v>
      </c>
      <c r="F691" s="20" t="s">
        <v>8</v>
      </c>
      <c r="G691" s="43">
        <v>98</v>
      </c>
      <c r="H691" s="43">
        <v>108</v>
      </c>
      <c r="I691" s="43">
        <v>0</v>
      </c>
      <c r="J691" s="43">
        <v>0</v>
      </c>
      <c r="K691" s="1">
        <f t="shared" ref="K691" si="1718">(IF(F691="SELL",G691-H691,IF(F691="BUY",H691-G691)))*E691</f>
        <v>2000</v>
      </c>
      <c r="L691" s="43">
        <v>0</v>
      </c>
      <c r="M691" s="43">
        <v>0</v>
      </c>
      <c r="N691" s="1">
        <f t="shared" si="1701"/>
        <v>10</v>
      </c>
      <c r="O691" s="1">
        <f t="shared" si="1702"/>
        <v>2000</v>
      </c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1"/>
      <c r="AD691" s="31"/>
      <c r="AE691" s="31"/>
      <c r="AF691" s="31"/>
      <c r="AG691" s="31"/>
    </row>
    <row r="692" spans="1:33" s="32" customFormat="1" ht="15" customHeight="1">
      <c r="A692" s="37">
        <v>44019</v>
      </c>
      <c r="B692" s="57" t="s">
        <v>428</v>
      </c>
      <c r="C692" s="20" t="s">
        <v>47</v>
      </c>
      <c r="D692" s="20">
        <v>2000</v>
      </c>
      <c r="E692" s="38">
        <v>800</v>
      </c>
      <c r="F692" s="20" t="s">
        <v>8</v>
      </c>
      <c r="G692" s="43">
        <v>14</v>
      </c>
      <c r="H692" s="43">
        <v>17.5</v>
      </c>
      <c r="I692" s="43">
        <v>0</v>
      </c>
      <c r="J692" s="43">
        <v>0</v>
      </c>
      <c r="K692" s="1">
        <f t="shared" ref="K692" si="1719">(IF(F692="SELL",G692-H692,IF(F692="BUY",H692-G692)))*E692</f>
        <v>2800</v>
      </c>
      <c r="L692" s="43">
        <v>0</v>
      </c>
      <c r="M692" s="43">
        <v>0</v>
      </c>
      <c r="N692" s="1">
        <f t="shared" si="1701"/>
        <v>3.5</v>
      </c>
      <c r="O692" s="1">
        <f t="shared" si="1702"/>
        <v>2800</v>
      </c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1"/>
      <c r="AD692" s="31"/>
      <c r="AE692" s="31"/>
      <c r="AF692" s="31"/>
      <c r="AG692" s="31"/>
    </row>
    <row r="693" spans="1:33" s="32" customFormat="1" ht="15" customHeight="1">
      <c r="A693" s="37">
        <v>44019</v>
      </c>
      <c r="B693" s="57" t="s">
        <v>487</v>
      </c>
      <c r="C693" s="20" t="s">
        <v>47</v>
      </c>
      <c r="D693" s="20">
        <v>440</v>
      </c>
      <c r="E693" s="38">
        <v>2700</v>
      </c>
      <c r="F693" s="20" t="s">
        <v>8</v>
      </c>
      <c r="G693" s="43">
        <v>4.8</v>
      </c>
      <c r="H693" s="43">
        <v>4.8</v>
      </c>
      <c r="I693" s="43">
        <v>0</v>
      </c>
      <c r="J693" s="43">
        <v>0</v>
      </c>
      <c r="K693" s="1">
        <f t="shared" ref="K693" si="1720">(IF(F693="SELL",G693-H693,IF(F693="BUY",H693-G693)))*E693</f>
        <v>0</v>
      </c>
      <c r="L693" s="43">
        <v>0</v>
      </c>
      <c r="M693" s="43">
        <v>0</v>
      </c>
      <c r="N693" s="1">
        <f t="shared" si="1701"/>
        <v>0</v>
      </c>
      <c r="O693" s="1">
        <f t="shared" si="1702"/>
        <v>0</v>
      </c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1"/>
      <c r="AD693" s="31"/>
      <c r="AE693" s="31"/>
      <c r="AF693" s="31"/>
      <c r="AG693" s="31"/>
    </row>
    <row r="694" spans="1:33" s="32" customFormat="1" ht="15" customHeight="1">
      <c r="A694" s="37">
        <v>44018</v>
      </c>
      <c r="B694" s="57" t="s">
        <v>39</v>
      </c>
      <c r="C694" s="20" t="s">
        <v>47</v>
      </c>
      <c r="D694" s="20">
        <v>2000</v>
      </c>
      <c r="E694" s="38">
        <v>550</v>
      </c>
      <c r="F694" s="20" t="s">
        <v>8</v>
      </c>
      <c r="G694" s="43">
        <v>13.5</v>
      </c>
      <c r="H694" s="43">
        <v>18</v>
      </c>
      <c r="I694" s="43">
        <v>0</v>
      </c>
      <c r="J694" s="43">
        <v>0</v>
      </c>
      <c r="K694" s="1">
        <f t="shared" ref="K694" si="1721">(IF(F694="SELL",G694-H694,IF(F694="BUY",H694-G694)))*E694</f>
        <v>2475</v>
      </c>
      <c r="L694" s="43">
        <v>0</v>
      </c>
      <c r="M694" s="43">
        <v>0</v>
      </c>
      <c r="N694" s="1">
        <f t="shared" si="1701"/>
        <v>4.5</v>
      </c>
      <c r="O694" s="1">
        <f t="shared" si="1702"/>
        <v>2475</v>
      </c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  <c r="AA694" s="31"/>
      <c r="AB694" s="31"/>
      <c r="AC694" s="31"/>
      <c r="AD694" s="31"/>
      <c r="AE694" s="31"/>
      <c r="AF694" s="31"/>
      <c r="AG694" s="31"/>
    </row>
    <row r="695" spans="1:33" s="32" customFormat="1" ht="15" customHeight="1">
      <c r="A695" s="37">
        <v>44018</v>
      </c>
      <c r="B695" s="57" t="s">
        <v>37</v>
      </c>
      <c r="C695" s="20" t="s">
        <v>47</v>
      </c>
      <c r="D695" s="20">
        <v>2240</v>
      </c>
      <c r="E695" s="38">
        <v>300</v>
      </c>
      <c r="F695" s="20" t="s">
        <v>8</v>
      </c>
      <c r="G695" s="43">
        <v>66</v>
      </c>
      <c r="H695" s="43">
        <v>76</v>
      </c>
      <c r="I695" s="43">
        <v>0</v>
      </c>
      <c r="J695" s="43">
        <v>0</v>
      </c>
      <c r="K695" s="1">
        <f t="shared" ref="K695" si="1722">(IF(F695="SELL",G695-H695,IF(F695="BUY",H695-G695)))*E695</f>
        <v>3000</v>
      </c>
      <c r="L695" s="43">
        <v>0</v>
      </c>
      <c r="M695" s="43">
        <v>0</v>
      </c>
      <c r="N695" s="1">
        <f t="shared" si="1701"/>
        <v>10</v>
      </c>
      <c r="O695" s="1">
        <f t="shared" si="1702"/>
        <v>3000</v>
      </c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  <c r="AA695" s="31"/>
      <c r="AB695" s="31"/>
      <c r="AC695" s="31"/>
      <c r="AD695" s="31"/>
      <c r="AE695" s="31"/>
      <c r="AF695" s="31"/>
      <c r="AG695" s="31"/>
    </row>
    <row r="696" spans="1:33" s="32" customFormat="1" ht="15" customHeight="1">
      <c r="A696" s="37">
        <v>44018</v>
      </c>
      <c r="B696" s="57" t="s">
        <v>17</v>
      </c>
      <c r="C696" s="20" t="s">
        <v>47</v>
      </c>
      <c r="D696" s="20">
        <v>1280</v>
      </c>
      <c r="E696" s="38">
        <v>1200</v>
      </c>
      <c r="F696" s="20" t="s">
        <v>8</v>
      </c>
      <c r="G696" s="43">
        <v>12.8</v>
      </c>
      <c r="H696" s="43">
        <v>12.8</v>
      </c>
      <c r="I696" s="43">
        <v>0</v>
      </c>
      <c r="J696" s="43">
        <v>0</v>
      </c>
      <c r="K696" s="1">
        <f t="shared" ref="K696" si="1723">(IF(F696="SELL",G696-H696,IF(F696="BUY",H696-G696)))*E696</f>
        <v>0</v>
      </c>
      <c r="L696" s="43">
        <v>0</v>
      </c>
      <c r="M696" s="43">
        <v>0</v>
      </c>
      <c r="N696" s="1">
        <f t="shared" si="1701"/>
        <v>0</v>
      </c>
      <c r="O696" s="1">
        <f t="shared" si="1702"/>
        <v>0</v>
      </c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  <c r="AA696" s="31"/>
      <c r="AB696" s="31"/>
      <c r="AC696" s="31"/>
      <c r="AD696" s="31"/>
      <c r="AE696" s="31"/>
      <c r="AF696" s="31"/>
      <c r="AG696" s="31"/>
    </row>
    <row r="697" spans="1:33" s="32" customFormat="1" ht="15" customHeight="1">
      <c r="A697" s="37">
        <v>44015</v>
      </c>
      <c r="B697" s="57" t="s">
        <v>109</v>
      </c>
      <c r="C697" s="20" t="s">
        <v>47</v>
      </c>
      <c r="D697" s="20">
        <v>235</v>
      </c>
      <c r="E697" s="38">
        <v>3200</v>
      </c>
      <c r="F697" s="20" t="s">
        <v>8</v>
      </c>
      <c r="G697" s="43">
        <v>5.3</v>
      </c>
      <c r="H697" s="43">
        <v>6.3</v>
      </c>
      <c r="I697" s="43">
        <v>0</v>
      </c>
      <c r="J697" s="43">
        <v>0</v>
      </c>
      <c r="K697" s="1">
        <f t="shared" ref="K697" si="1724">(IF(F697="SELL",G697-H697,IF(F697="BUY",H697-G697)))*E697</f>
        <v>3200</v>
      </c>
      <c r="L697" s="43">
        <v>0</v>
      </c>
      <c r="M697" s="43">
        <v>0</v>
      </c>
      <c r="N697" s="1">
        <f t="shared" si="1701"/>
        <v>1</v>
      </c>
      <c r="O697" s="1">
        <f t="shared" si="1702"/>
        <v>3200</v>
      </c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  <c r="AA697" s="31"/>
      <c r="AB697" s="31"/>
      <c r="AC697" s="31"/>
      <c r="AD697" s="31"/>
      <c r="AE697" s="31"/>
      <c r="AF697" s="31"/>
      <c r="AG697" s="31"/>
    </row>
    <row r="698" spans="1:33" s="32" customFormat="1" ht="15" customHeight="1">
      <c r="A698" s="37">
        <v>44015</v>
      </c>
      <c r="B698" s="57" t="s">
        <v>336</v>
      </c>
      <c r="C698" s="20" t="s">
        <v>47</v>
      </c>
      <c r="D698" s="20">
        <v>1400</v>
      </c>
      <c r="E698" s="38">
        <v>800</v>
      </c>
      <c r="F698" s="20" t="s">
        <v>8</v>
      </c>
      <c r="G698" s="43">
        <v>13.8</v>
      </c>
      <c r="H698" s="43">
        <v>16.8</v>
      </c>
      <c r="I698" s="43">
        <v>20.8</v>
      </c>
      <c r="J698" s="43">
        <v>0</v>
      </c>
      <c r="K698" s="1">
        <f t="shared" ref="K698" si="1725">(IF(F698="SELL",G698-H698,IF(F698="BUY",H698-G698)))*E698</f>
        <v>2400</v>
      </c>
      <c r="L698" s="43">
        <v>2400</v>
      </c>
      <c r="M698" s="43">
        <v>0</v>
      </c>
      <c r="N698" s="1">
        <f t="shared" si="1701"/>
        <v>6</v>
      </c>
      <c r="O698" s="1">
        <f t="shared" si="1702"/>
        <v>4800</v>
      </c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  <c r="AA698" s="31"/>
      <c r="AB698" s="31"/>
      <c r="AC698" s="31"/>
      <c r="AD698" s="31"/>
      <c r="AE698" s="31"/>
      <c r="AF698" s="31"/>
      <c r="AG698" s="31"/>
    </row>
    <row r="699" spans="1:33" s="32" customFormat="1" ht="15" customHeight="1">
      <c r="A699" s="37">
        <v>44014</v>
      </c>
      <c r="B699" s="57" t="s">
        <v>39</v>
      </c>
      <c r="C699" s="20" t="s">
        <v>47</v>
      </c>
      <c r="D699" s="20">
        <v>1900</v>
      </c>
      <c r="E699" s="38">
        <v>550</v>
      </c>
      <c r="F699" s="20" t="s">
        <v>8</v>
      </c>
      <c r="G699" s="43">
        <v>25.5</v>
      </c>
      <c r="H699" s="43">
        <v>28.5</v>
      </c>
      <c r="I699" s="43">
        <v>0</v>
      </c>
      <c r="J699" s="43">
        <v>0</v>
      </c>
      <c r="K699" s="1">
        <f t="shared" ref="K699" si="1726">(IF(F699="SELL",G699-H699,IF(F699="BUY",H699-G699)))*E699</f>
        <v>1650</v>
      </c>
      <c r="L699" s="43">
        <f>E699*4</f>
        <v>2200</v>
      </c>
      <c r="M699" s="43">
        <v>0</v>
      </c>
      <c r="N699" s="1">
        <f t="shared" si="1701"/>
        <v>7</v>
      </c>
      <c r="O699" s="1">
        <f t="shared" si="1702"/>
        <v>3850</v>
      </c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  <c r="AA699" s="31"/>
      <c r="AB699" s="31"/>
      <c r="AC699" s="31"/>
      <c r="AD699" s="31"/>
      <c r="AE699" s="31"/>
      <c r="AF699" s="31"/>
      <c r="AG699" s="31"/>
    </row>
    <row r="700" spans="1:33" s="32" customFormat="1" ht="15" customHeight="1">
      <c r="A700" s="37">
        <v>44014</v>
      </c>
      <c r="B700" s="57" t="s">
        <v>20</v>
      </c>
      <c r="C700" s="20" t="s">
        <v>47</v>
      </c>
      <c r="D700" s="20">
        <v>820</v>
      </c>
      <c r="E700" s="38">
        <v>1200</v>
      </c>
      <c r="F700" s="20" t="s">
        <v>8</v>
      </c>
      <c r="G700" s="43">
        <v>5.5</v>
      </c>
      <c r="H700" s="43">
        <v>7.5</v>
      </c>
      <c r="I700" s="43">
        <v>0</v>
      </c>
      <c r="J700" s="43">
        <v>0</v>
      </c>
      <c r="K700" s="1">
        <f t="shared" ref="K700" si="1727">(IF(F700="SELL",G700-H700,IF(F700="BUY",H700-G700)))*E700</f>
        <v>2400</v>
      </c>
      <c r="L700" s="43">
        <v>0</v>
      </c>
      <c r="M700" s="43">
        <v>0</v>
      </c>
      <c r="N700" s="1">
        <f t="shared" si="1701"/>
        <v>2</v>
      </c>
      <c r="O700" s="1">
        <f t="shared" si="1702"/>
        <v>2400</v>
      </c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  <c r="AA700" s="31"/>
      <c r="AB700" s="31"/>
      <c r="AC700" s="31"/>
      <c r="AD700" s="31"/>
      <c r="AE700" s="31"/>
      <c r="AF700" s="31"/>
      <c r="AG700" s="31"/>
    </row>
    <row r="701" spans="1:33" s="32" customFormat="1" ht="15" customHeight="1">
      <c r="A701" s="37">
        <v>44013</v>
      </c>
      <c r="B701" s="57" t="s">
        <v>43</v>
      </c>
      <c r="C701" s="20" t="s">
        <v>47</v>
      </c>
      <c r="D701" s="20">
        <v>1100</v>
      </c>
      <c r="E701" s="38">
        <v>550</v>
      </c>
      <c r="F701" s="20" t="s">
        <v>8</v>
      </c>
      <c r="G701" s="43">
        <v>32</v>
      </c>
      <c r="H701" s="43">
        <v>36</v>
      </c>
      <c r="I701" s="43">
        <v>40</v>
      </c>
      <c r="J701" s="43">
        <v>0</v>
      </c>
      <c r="K701" s="1">
        <f t="shared" ref="K701" si="1728">(IF(F701="SELL",G701-H701,IF(F701="BUY",H701-G701)))*E701</f>
        <v>2200</v>
      </c>
      <c r="L701" s="43">
        <f>E701*4</f>
        <v>2200</v>
      </c>
      <c r="M701" s="43">
        <v>0</v>
      </c>
      <c r="N701" s="1">
        <f t="shared" si="1701"/>
        <v>8</v>
      </c>
      <c r="O701" s="1">
        <f t="shared" si="1702"/>
        <v>4400</v>
      </c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1"/>
      <c r="AD701" s="31"/>
      <c r="AE701" s="31"/>
      <c r="AF701" s="31"/>
      <c r="AG701" s="31"/>
    </row>
    <row r="702" spans="1:33" s="32" customFormat="1" ht="15" customHeight="1">
      <c r="A702" s="37">
        <v>44013</v>
      </c>
      <c r="B702" s="57" t="s">
        <v>21</v>
      </c>
      <c r="C702" s="20" t="s">
        <v>47</v>
      </c>
      <c r="D702" s="20">
        <v>200</v>
      </c>
      <c r="E702" s="38">
        <v>3000</v>
      </c>
      <c r="F702" s="20" t="s">
        <v>8</v>
      </c>
      <c r="G702" s="43">
        <v>4.5</v>
      </c>
      <c r="H702" s="43">
        <v>5.0999999999999996</v>
      </c>
      <c r="I702" s="43">
        <v>0</v>
      </c>
      <c r="J702" s="43">
        <v>0</v>
      </c>
      <c r="K702" s="1">
        <f t="shared" ref="K702" si="1729">(IF(F702="SELL",G702-H702,IF(F702="BUY",H702-G702)))*E702</f>
        <v>1799.9999999999989</v>
      </c>
      <c r="L702" s="43">
        <v>0</v>
      </c>
      <c r="M702" s="43">
        <v>0</v>
      </c>
      <c r="N702" s="1">
        <f t="shared" si="1701"/>
        <v>0.59999999999999964</v>
      </c>
      <c r="O702" s="1">
        <f t="shared" si="1702"/>
        <v>1799.9999999999989</v>
      </c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1"/>
      <c r="AD702" s="31"/>
      <c r="AE702" s="31"/>
      <c r="AF702" s="31"/>
      <c r="AG702" s="31"/>
    </row>
    <row r="703" spans="1:33" s="32" customFormat="1" ht="15" customHeight="1">
      <c r="A703" s="37">
        <v>44013</v>
      </c>
      <c r="B703" s="57" t="s">
        <v>336</v>
      </c>
      <c r="C703" s="20" t="s">
        <v>47</v>
      </c>
      <c r="D703" s="20">
        <v>1340</v>
      </c>
      <c r="E703" s="38">
        <v>800</v>
      </c>
      <c r="F703" s="20" t="s">
        <v>8</v>
      </c>
      <c r="G703" s="43">
        <v>31</v>
      </c>
      <c r="H703" s="43">
        <v>25.5</v>
      </c>
      <c r="I703" s="43">
        <v>0</v>
      </c>
      <c r="J703" s="43">
        <v>0</v>
      </c>
      <c r="K703" s="1">
        <f t="shared" ref="K703" si="1730">(IF(F703="SELL",G703-H703,IF(F703="BUY",H703-G703)))*E703</f>
        <v>-4400</v>
      </c>
      <c r="L703" s="43">
        <v>0</v>
      </c>
      <c r="M703" s="43">
        <v>0</v>
      </c>
      <c r="N703" s="1">
        <f t="shared" si="1701"/>
        <v>-5.5</v>
      </c>
      <c r="O703" s="1">
        <f t="shared" si="1702"/>
        <v>-4400</v>
      </c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1"/>
      <c r="AD703" s="31"/>
      <c r="AE703" s="31"/>
      <c r="AF703" s="31"/>
      <c r="AG703" s="31"/>
    </row>
    <row r="704" spans="1:33" s="32" customFormat="1" ht="15" customHeight="1">
      <c r="A704" s="37">
        <v>44012</v>
      </c>
      <c r="B704" s="57" t="s">
        <v>34</v>
      </c>
      <c r="C704" s="20" t="s">
        <v>47</v>
      </c>
      <c r="D704" s="20">
        <v>175</v>
      </c>
      <c r="E704" s="38">
        <v>4300</v>
      </c>
      <c r="F704" s="20" t="s">
        <v>8</v>
      </c>
      <c r="G704" s="43">
        <v>1.8</v>
      </c>
      <c r="H704" s="43">
        <v>1.8</v>
      </c>
      <c r="I704" s="43">
        <v>0</v>
      </c>
      <c r="J704" s="43">
        <v>0</v>
      </c>
      <c r="K704" s="1">
        <f t="shared" ref="K704" si="1731">(IF(F704="SELL",G704-H704,IF(F704="BUY",H704-G704)))*E704</f>
        <v>0</v>
      </c>
      <c r="L704" s="43">
        <v>0</v>
      </c>
      <c r="M704" s="43">
        <v>0</v>
      </c>
      <c r="N704" s="1">
        <f t="shared" si="1701"/>
        <v>0</v>
      </c>
      <c r="O704" s="1">
        <f t="shared" si="1702"/>
        <v>0</v>
      </c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  <c r="AA704" s="31"/>
      <c r="AB704" s="31"/>
      <c r="AC704" s="31"/>
      <c r="AD704" s="31"/>
      <c r="AE704" s="31"/>
      <c r="AF704" s="31"/>
      <c r="AG704" s="31"/>
    </row>
    <row r="705" spans="1:33" s="32" customFormat="1" ht="15" customHeight="1">
      <c r="A705" s="37">
        <v>44012</v>
      </c>
      <c r="B705" s="57" t="s">
        <v>453</v>
      </c>
      <c r="C705" s="20" t="s">
        <v>47</v>
      </c>
      <c r="D705" s="20">
        <v>1240</v>
      </c>
      <c r="E705" s="38">
        <v>1100</v>
      </c>
      <c r="F705" s="20" t="s">
        <v>8</v>
      </c>
      <c r="G705" s="43">
        <v>12.2</v>
      </c>
      <c r="H705" s="43">
        <v>13.8</v>
      </c>
      <c r="I705" s="43">
        <v>0</v>
      </c>
      <c r="J705" s="43">
        <v>0</v>
      </c>
      <c r="K705" s="1">
        <f t="shared" ref="K705" si="1732">(IF(F705="SELL",G705-H705,IF(F705="BUY",H705-G705)))*E705</f>
        <v>1760.0000000000016</v>
      </c>
      <c r="L705" s="43">
        <v>0</v>
      </c>
      <c r="M705" s="43">
        <v>0</v>
      </c>
      <c r="N705" s="1">
        <f t="shared" si="1701"/>
        <v>1.6000000000000014</v>
      </c>
      <c r="O705" s="1">
        <f t="shared" si="1702"/>
        <v>1760.0000000000016</v>
      </c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1"/>
      <c r="AD705" s="31"/>
      <c r="AE705" s="31"/>
      <c r="AF705" s="31"/>
      <c r="AG705" s="31"/>
    </row>
    <row r="706" spans="1:33" s="32" customFormat="1" ht="15" customHeight="1">
      <c r="A706" s="37">
        <v>44012</v>
      </c>
      <c r="B706" s="57" t="s">
        <v>473</v>
      </c>
      <c r="C706" s="20" t="s">
        <v>46</v>
      </c>
      <c r="D706" s="20">
        <v>187.5</v>
      </c>
      <c r="E706" s="38">
        <v>3200</v>
      </c>
      <c r="F706" s="20" t="s">
        <v>8</v>
      </c>
      <c r="G706" s="43">
        <v>5.0999999999999996</v>
      </c>
      <c r="H706" s="43">
        <v>5.45</v>
      </c>
      <c r="I706" s="43">
        <v>0</v>
      </c>
      <c r="J706" s="43">
        <v>0</v>
      </c>
      <c r="K706" s="1">
        <f t="shared" ref="K706" si="1733">(IF(F706="SELL",G706-H706,IF(F706="BUY",H706-G706)))*E706</f>
        <v>1120.0000000000018</v>
      </c>
      <c r="L706" s="43">
        <v>0</v>
      </c>
      <c r="M706" s="43">
        <v>0</v>
      </c>
      <c r="N706" s="1">
        <f t="shared" si="1701"/>
        <v>0.35000000000000059</v>
      </c>
      <c r="O706" s="1">
        <f t="shared" si="1702"/>
        <v>1120.0000000000018</v>
      </c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1"/>
      <c r="AD706" s="31"/>
      <c r="AE706" s="31"/>
      <c r="AF706" s="31"/>
      <c r="AG706" s="31"/>
    </row>
    <row r="707" spans="1:33" s="32" customFormat="1" ht="15" customHeight="1">
      <c r="A707" s="37">
        <v>44011</v>
      </c>
      <c r="B707" s="57" t="s">
        <v>413</v>
      </c>
      <c r="C707" s="20" t="s">
        <v>46</v>
      </c>
      <c r="D707" s="20">
        <v>150</v>
      </c>
      <c r="E707" s="38">
        <v>3100</v>
      </c>
      <c r="F707" s="20" t="s">
        <v>8</v>
      </c>
      <c r="G707" s="43">
        <v>5.5</v>
      </c>
      <c r="H707" s="43">
        <v>6.5</v>
      </c>
      <c r="I707" s="43">
        <v>0</v>
      </c>
      <c r="J707" s="43">
        <v>0</v>
      </c>
      <c r="K707" s="1">
        <f t="shared" ref="K707" si="1734">(IF(F707="SELL",G707-H707,IF(F707="BUY",H707-G707)))*E707</f>
        <v>3100</v>
      </c>
      <c r="L707" s="43">
        <v>0</v>
      </c>
      <c r="M707" s="43">
        <v>0</v>
      </c>
      <c r="N707" s="1">
        <f t="shared" si="1701"/>
        <v>1</v>
      </c>
      <c r="O707" s="1">
        <f t="shared" si="1702"/>
        <v>3100</v>
      </c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  <c r="AA707" s="31"/>
      <c r="AB707" s="31"/>
      <c r="AC707" s="31"/>
      <c r="AD707" s="31"/>
      <c r="AE707" s="31"/>
      <c r="AF707" s="31"/>
      <c r="AG707" s="31"/>
    </row>
    <row r="708" spans="1:33" s="32" customFormat="1" ht="15" customHeight="1">
      <c r="A708" s="37">
        <v>44011</v>
      </c>
      <c r="B708" s="57" t="s">
        <v>446</v>
      </c>
      <c r="C708" s="20" t="s">
        <v>47</v>
      </c>
      <c r="D708" s="20">
        <v>2300</v>
      </c>
      <c r="E708" s="38">
        <v>300</v>
      </c>
      <c r="F708" s="20" t="s">
        <v>8</v>
      </c>
      <c r="G708" s="43">
        <v>37</v>
      </c>
      <c r="H708" s="43">
        <v>37</v>
      </c>
      <c r="I708" s="43">
        <v>0</v>
      </c>
      <c r="J708" s="43">
        <v>0</v>
      </c>
      <c r="K708" s="1">
        <f t="shared" ref="K708" si="1735">(IF(F708="SELL",G708-H708,IF(F708="BUY",H708-G708)))*E708</f>
        <v>0</v>
      </c>
      <c r="L708" s="43">
        <v>0</v>
      </c>
      <c r="M708" s="43">
        <v>0</v>
      </c>
      <c r="N708" s="1">
        <f t="shared" si="1701"/>
        <v>0</v>
      </c>
      <c r="O708" s="1">
        <f t="shared" si="1702"/>
        <v>0</v>
      </c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  <c r="AA708" s="31"/>
      <c r="AB708" s="31"/>
      <c r="AC708" s="31"/>
      <c r="AD708" s="31"/>
      <c r="AE708" s="31"/>
      <c r="AF708" s="31"/>
      <c r="AG708" s="31"/>
    </row>
    <row r="709" spans="1:33" s="32" customFormat="1" ht="15" customHeight="1">
      <c r="A709" s="37">
        <v>44011</v>
      </c>
      <c r="B709" s="57" t="s">
        <v>453</v>
      </c>
      <c r="C709" s="20" t="s">
        <v>47</v>
      </c>
      <c r="D709" s="20">
        <v>1240</v>
      </c>
      <c r="E709" s="38">
        <v>1100</v>
      </c>
      <c r="F709" s="20" t="s">
        <v>8</v>
      </c>
      <c r="G709" s="43">
        <v>10</v>
      </c>
      <c r="H709" s="43">
        <v>10</v>
      </c>
      <c r="I709" s="43">
        <v>0</v>
      </c>
      <c r="J709" s="43">
        <v>0</v>
      </c>
      <c r="K709" s="1">
        <f t="shared" ref="K709" si="1736">(IF(F709="SELL",G709-H709,IF(F709="BUY",H709-G709)))*E709</f>
        <v>0</v>
      </c>
      <c r="L709" s="43">
        <v>0</v>
      </c>
      <c r="M709" s="43">
        <v>0</v>
      </c>
      <c r="N709" s="1">
        <f t="shared" si="1701"/>
        <v>0</v>
      </c>
      <c r="O709" s="1">
        <f t="shared" si="1702"/>
        <v>0</v>
      </c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  <c r="AA709" s="31"/>
      <c r="AB709" s="31"/>
      <c r="AC709" s="31"/>
      <c r="AD709" s="31"/>
      <c r="AE709" s="31"/>
      <c r="AF709" s="31"/>
      <c r="AG709" s="31"/>
    </row>
    <row r="710" spans="1:33" s="32" customFormat="1" ht="15" customHeight="1">
      <c r="A710" s="37">
        <v>44008</v>
      </c>
      <c r="B710" s="57" t="s">
        <v>122</v>
      </c>
      <c r="C710" s="20" t="s">
        <v>46</v>
      </c>
      <c r="D710" s="20">
        <v>1600</v>
      </c>
      <c r="E710" s="38">
        <v>550</v>
      </c>
      <c r="F710" s="20" t="s">
        <v>8</v>
      </c>
      <c r="G710" s="43">
        <v>34</v>
      </c>
      <c r="H710" s="43">
        <v>34</v>
      </c>
      <c r="I710" s="43">
        <v>0</v>
      </c>
      <c r="J710" s="43">
        <v>0</v>
      </c>
      <c r="K710" s="1">
        <f t="shared" ref="K710" si="1737">(IF(F710="SELL",G710-H710,IF(F710="BUY",H710-G710)))*E710</f>
        <v>0</v>
      </c>
      <c r="L710" s="43">
        <v>0</v>
      </c>
      <c r="M710" s="43">
        <v>0</v>
      </c>
      <c r="N710" s="1">
        <f t="shared" si="1701"/>
        <v>0</v>
      </c>
      <c r="O710" s="1">
        <f t="shared" si="1702"/>
        <v>0</v>
      </c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  <c r="AA710" s="31"/>
      <c r="AB710" s="31"/>
      <c r="AC710" s="31"/>
      <c r="AD710" s="31"/>
      <c r="AE710" s="31"/>
      <c r="AF710" s="31"/>
      <c r="AG710" s="31"/>
    </row>
    <row r="711" spans="1:33" s="32" customFormat="1" ht="15" customHeight="1">
      <c r="A711" s="37">
        <v>44008</v>
      </c>
      <c r="B711" s="57" t="s">
        <v>37</v>
      </c>
      <c r="C711" s="20" t="s">
        <v>47</v>
      </c>
      <c r="D711" s="20">
        <v>2200</v>
      </c>
      <c r="E711" s="38">
        <v>250</v>
      </c>
      <c r="F711" s="20" t="s">
        <v>8</v>
      </c>
      <c r="G711" s="43">
        <v>38</v>
      </c>
      <c r="H711" s="43">
        <v>46</v>
      </c>
      <c r="I711" s="43">
        <v>56</v>
      </c>
      <c r="J711" s="43">
        <v>0</v>
      </c>
      <c r="K711" s="1">
        <f t="shared" ref="K711" si="1738">(IF(F711="SELL",G711-H711,IF(F711="BUY",H711-G711)))*E711</f>
        <v>2000</v>
      </c>
      <c r="L711" s="43">
        <v>2500</v>
      </c>
      <c r="M711" s="43">
        <v>0</v>
      </c>
      <c r="N711" s="1">
        <f t="shared" si="1701"/>
        <v>18</v>
      </c>
      <c r="O711" s="1">
        <f t="shared" si="1702"/>
        <v>4500</v>
      </c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1"/>
      <c r="AD711" s="31"/>
      <c r="AE711" s="31"/>
      <c r="AF711" s="31"/>
      <c r="AG711" s="31"/>
    </row>
    <row r="712" spans="1:33" s="32" customFormat="1" ht="15" customHeight="1">
      <c r="A712" s="37">
        <v>44008</v>
      </c>
      <c r="B712" s="57" t="s">
        <v>461</v>
      </c>
      <c r="C712" s="20" t="s">
        <v>47</v>
      </c>
      <c r="D712" s="20">
        <v>3200</v>
      </c>
      <c r="E712" s="38">
        <v>250</v>
      </c>
      <c r="F712" s="20" t="s">
        <v>8</v>
      </c>
      <c r="G712" s="43">
        <v>42</v>
      </c>
      <c r="H712" s="43">
        <v>35</v>
      </c>
      <c r="I712" s="43">
        <v>0</v>
      </c>
      <c r="J712" s="43">
        <v>0</v>
      </c>
      <c r="K712" s="1">
        <f t="shared" ref="K712" si="1739">(IF(F712="SELL",G712-H712,IF(F712="BUY",H712-G712)))*E712</f>
        <v>-1750</v>
      </c>
      <c r="L712" s="43">
        <v>0</v>
      </c>
      <c r="M712" s="43">
        <v>0</v>
      </c>
      <c r="N712" s="1">
        <f t="shared" si="1701"/>
        <v>-7</v>
      </c>
      <c r="O712" s="1">
        <f t="shared" si="1702"/>
        <v>-1750</v>
      </c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1"/>
      <c r="AD712" s="31"/>
      <c r="AE712" s="31"/>
      <c r="AF712" s="31"/>
      <c r="AG712" s="31"/>
    </row>
    <row r="713" spans="1:33" s="32" customFormat="1" ht="15" customHeight="1">
      <c r="A713" s="37">
        <v>44007</v>
      </c>
      <c r="B713" s="57" t="s">
        <v>98</v>
      </c>
      <c r="C713" s="20" t="s">
        <v>47</v>
      </c>
      <c r="D713" s="20">
        <v>450</v>
      </c>
      <c r="E713" s="38">
        <v>2300</v>
      </c>
      <c r="F713" s="20" t="s">
        <v>8</v>
      </c>
      <c r="G713" s="43">
        <v>9.8000000000000007</v>
      </c>
      <c r="H713" s="43">
        <v>10.8</v>
      </c>
      <c r="I713" s="43">
        <v>0</v>
      </c>
      <c r="J713" s="43">
        <v>0</v>
      </c>
      <c r="K713" s="1">
        <f t="shared" ref="K713" si="1740">(IF(F713="SELL",G713-H713,IF(F713="BUY",H713-G713)))*E713</f>
        <v>2300</v>
      </c>
      <c r="L713" s="43">
        <v>0</v>
      </c>
      <c r="M713" s="43">
        <v>0</v>
      </c>
      <c r="N713" s="1">
        <f t="shared" si="1701"/>
        <v>1</v>
      </c>
      <c r="O713" s="1">
        <f t="shared" si="1702"/>
        <v>2300</v>
      </c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  <c r="AA713" s="31"/>
      <c r="AB713" s="31"/>
      <c r="AC713" s="31"/>
      <c r="AD713" s="31"/>
      <c r="AE713" s="31"/>
      <c r="AF713" s="31"/>
      <c r="AG713" s="31"/>
    </row>
    <row r="714" spans="1:33" s="32" customFormat="1" ht="15" customHeight="1">
      <c r="A714" s="37">
        <v>44007</v>
      </c>
      <c r="B714" s="57" t="s">
        <v>128</v>
      </c>
      <c r="C714" s="20" t="s">
        <v>47</v>
      </c>
      <c r="D714" s="20">
        <v>1500</v>
      </c>
      <c r="E714" s="38">
        <v>400</v>
      </c>
      <c r="F714" s="20" t="s">
        <v>8</v>
      </c>
      <c r="G714" s="43">
        <v>27</v>
      </c>
      <c r="H714" s="43">
        <v>35</v>
      </c>
      <c r="I714" s="43">
        <v>0</v>
      </c>
      <c r="J714" s="43">
        <v>0</v>
      </c>
      <c r="K714" s="1">
        <f t="shared" ref="K714" si="1741">(IF(F714="SELL",G714-H714,IF(F714="BUY",H714-G714)))*E714</f>
        <v>3200</v>
      </c>
      <c r="L714" s="43">
        <v>0</v>
      </c>
      <c r="M714" s="43">
        <v>0</v>
      </c>
      <c r="N714" s="1">
        <f t="shared" si="1701"/>
        <v>8</v>
      </c>
      <c r="O714" s="1">
        <f t="shared" si="1702"/>
        <v>3200</v>
      </c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1"/>
      <c r="AD714" s="31"/>
      <c r="AE714" s="31"/>
      <c r="AF714" s="31"/>
      <c r="AG714" s="31"/>
    </row>
    <row r="715" spans="1:33" s="32" customFormat="1" ht="15" customHeight="1">
      <c r="A715" s="37">
        <v>44006</v>
      </c>
      <c r="B715" s="57" t="s">
        <v>39</v>
      </c>
      <c r="C715" s="20" t="s">
        <v>47</v>
      </c>
      <c r="D715" s="20">
        <v>1780</v>
      </c>
      <c r="E715" s="38">
        <v>500</v>
      </c>
      <c r="F715" s="20" t="s">
        <v>8</v>
      </c>
      <c r="G715" s="43">
        <v>15</v>
      </c>
      <c r="H715" s="43">
        <v>8</v>
      </c>
      <c r="I715" s="43">
        <v>0</v>
      </c>
      <c r="J715" s="43">
        <v>0</v>
      </c>
      <c r="K715" s="1">
        <f t="shared" ref="K715" si="1742">(IF(F715="SELL",G715-H715,IF(F715="BUY",H715-G715)))*E715</f>
        <v>-3500</v>
      </c>
      <c r="L715" s="43">
        <v>0</v>
      </c>
      <c r="M715" s="43">
        <v>0</v>
      </c>
      <c r="N715" s="1">
        <f t="shared" si="1701"/>
        <v>-7</v>
      </c>
      <c r="O715" s="1">
        <f t="shared" si="1702"/>
        <v>-3500</v>
      </c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1"/>
      <c r="AD715" s="31"/>
      <c r="AE715" s="31"/>
      <c r="AF715" s="31"/>
      <c r="AG715" s="31"/>
    </row>
    <row r="716" spans="1:33" s="32" customFormat="1" ht="15" customHeight="1">
      <c r="A716" s="37">
        <v>44006</v>
      </c>
      <c r="B716" s="57" t="s">
        <v>32</v>
      </c>
      <c r="C716" s="20" t="s">
        <v>47</v>
      </c>
      <c r="D716" s="20">
        <v>840</v>
      </c>
      <c r="E716" s="38">
        <v>1000</v>
      </c>
      <c r="F716" s="20" t="s">
        <v>8</v>
      </c>
      <c r="G716" s="43">
        <v>3.3</v>
      </c>
      <c r="H716" s="43">
        <v>1</v>
      </c>
      <c r="I716" s="43">
        <v>0</v>
      </c>
      <c r="J716" s="43">
        <v>0</v>
      </c>
      <c r="K716" s="1">
        <f t="shared" ref="K716" si="1743">(IF(F716="SELL",G716-H716,IF(F716="BUY",H716-G716)))*E716</f>
        <v>-2300</v>
      </c>
      <c r="L716" s="43">
        <v>0</v>
      </c>
      <c r="M716" s="43">
        <v>0</v>
      </c>
      <c r="N716" s="1">
        <f t="shared" si="1701"/>
        <v>-2.2999999999999998</v>
      </c>
      <c r="O716" s="1">
        <f t="shared" si="1702"/>
        <v>-2300</v>
      </c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1"/>
      <c r="AD716" s="31"/>
      <c r="AE716" s="31"/>
      <c r="AF716" s="31"/>
      <c r="AG716" s="31"/>
    </row>
    <row r="717" spans="1:33" s="32" customFormat="1" ht="15" customHeight="1">
      <c r="A717" s="37">
        <v>44006</v>
      </c>
      <c r="B717" s="57" t="s">
        <v>453</v>
      </c>
      <c r="C717" s="20" t="s">
        <v>47</v>
      </c>
      <c r="D717" s="20">
        <v>1040</v>
      </c>
      <c r="E717" s="38">
        <v>1100</v>
      </c>
      <c r="F717" s="20" t="s">
        <v>8</v>
      </c>
      <c r="G717" s="43">
        <v>7</v>
      </c>
      <c r="H717" s="43">
        <v>10</v>
      </c>
      <c r="I717" s="43">
        <v>15</v>
      </c>
      <c r="J717" s="43">
        <v>20</v>
      </c>
      <c r="K717" s="1">
        <f t="shared" ref="K717" si="1744">(IF(F717="SELL",G717-H717,IF(F717="BUY",H717-G717)))*E717</f>
        <v>3300</v>
      </c>
      <c r="L717" s="43">
        <v>5500</v>
      </c>
      <c r="M717" s="43">
        <v>5500</v>
      </c>
      <c r="N717" s="1">
        <f t="shared" si="1701"/>
        <v>13</v>
      </c>
      <c r="O717" s="1">
        <f t="shared" si="1702"/>
        <v>14300</v>
      </c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  <c r="AA717" s="31"/>
      <c r="AB717" s="31"/>
      <c r="AC717" s="31"/>
      <c r="AD717" s="31"/>
      <c r="AE717" s="31"/>
      <c r="AF717" s="31"/>
      <c r="AG717" s="31"/>
    </row>
    <row r="718" spans="1:33" s="32" customFormat="1" ht="15" customHeight="1">
      <c r="A718" s="37">
        <v>44005</v>
      </c>
      <c r="B718" s="57" t="s">
        <v>446</v>
      </c>
      <c r="C718" s="20" t="s">
        <v>47</v>
      </c>
      <c r="D718" s="20">
        <v>2180</v>
      </c>
      <c r="E718" s="38">
        <v>300</v>
      </c>
      <c r="F718" s="20" t="s">
        <v>8</v>
      </c>
      <c r="G718" s="43">
        <v>16.5</v>
      </c>
      <c r="H718" s="43">
        <v>25</v>
      </c>
      <c r="I718" s="43">
        <v>0</v>
      </c>
      <c r="J718" s="43">
        <v>0</v>
      </c>
      <c r="K718" s="1">
        <f t="shared" ref="K718" si="1745">(IF(F718="SELL",G718-H718,IF(F718="BUY",H718-G718)))*E718</f>
        <v>2550</v>
      </c>
      <c r="L718" s="43">
        <v>0</v>
      </c>
      <c r="M718" s="43">
        <v>0</v>
      </c>
      <c r="N718" s="1">
        <f t="shared" si="1701"/>
        <v>8.5</v>
      </c>
      <c r="O718" s="1">
        <f t="shared" si="1702"/>
        <v>2550</v>
      </c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  <c r="AA718" s="31"/>
      <c r="AB718" s="31"/>
      <c r="AC718" s="31"/>
      <c r="AD718" s="31"/>
      <c r="AE718" s="31"/>
      <c r="AF718" s="31"/>
      <c r="AG718" s="31"/>
    </row>
    <row r="719" spans="1:33" s="32" customFormat="1" ht="15" customHeight="1">
      <c r="A719" s="37">
        <v>44005</v>
      </c>
      <c r="B719" s="57" t="s">
        <v>467</v>
      </c>
      <c r="C719" s="20" t="s">
        <v>46</v>
      </c>
      <c r="D719" s="20">
        <v>1010</v>
      </c>
      <c r="E719" s="38">
        <v>500</v>
      </c>
      <c r="F719" s="20" t="s">
        <v>8</v>
      </c>
      <c r="G719" s="43">
        <v>14.5</v>
      </c>
      <c r="H719" s="43">
        <v>12</v>
      </c>
      <c r="I719" s="43">
        <v>0</v>
      </c>
      <c r="J719" s="43">
        <v>0</v>
      </c>
      <c r="K719" s="1">
        <f t="shared" ref="K719" si="1746">(IF(F719="SELL",G719-H719,IF(F719="BUY",H719-G719)))*E719</f>
        <v>-1250</v>
      </c>
      <c r="L719" s="43">
        <v>0</v>
      </c>
      <c r="M719" s="43">
        <v>0</v>
      </c>
      <c r="N719" s="1">
        <f t="shared" si="1701"/>
        <v>-2.5</v>
      </c>
      <c r="O719" s="1">
        <f t="shared" si="1702"/>
        <v>-1250</v>
      </c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  <c r="AA719" s="31"/>
      <c r="AB719" s="31"/>
      <c r="AC719" s="31"/>
      <c r="AD719" s="31"/>
      <c r="AE719" s="31"/>
      <c r="AF719" s="31"/>
      <c r="AG719" s="31"/>
    </row>
    <row r="720" spans="1:33" s="32" customFormat="1" ht="15" customHeight="1">
      <c r="A720" s="37">
        <v>44005</v>
      </c>
      <c r="B720" s="57" t="s">
        <v>458</v>
      </c>
      <c r="C720" s="20" t="s">
        <v>47</v>
      </c>
      <c r="D720" s="20">
        <v>3500</v>
      </c>
      <c r="E720" s="38">
        <v>200</v>
      </c>
      <c r="F720" s="20" t="s">
        <v>8</v>
      </c>
      <c r="G720" s="43">
        <v>50</v>
      </c>
      <c r="H720" s="43">
        <v>35</v>
      </c>
      <c r="I720" s="43">
        <v>0</v>
      </c>
      <c r="J720" s="43">
        <v>0</v>
      </c>
      <c r="K720" s="1">
        <f t="shared" ref="K720" si="1747">(IF(F720="SELL",G720-H720,IF(F720="BUY",H720-G720)))*E720</f>
        <v>-3000</v>
      </c>
      <c r="L720" s="43">
        <v>0</v>
      </c>
      <c r="M720" s="43">
        <v>0</v>
      </c>
      <c r="N720" s="1">
        <f t="shared" si="1701"/>
        <v>-15</v>
      </c>
      <c r="O720" s="1">
        <f t="shared" si="1702"/>
        <v>-3000</v>
      </c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  <c r="AA720" s="31"/>
      <c r="AB720" s="31"/>
      <c r="AC720" s="31"/>
      <c r="AD720" s="31"/>
      <c r="AE720" s="31"/>
      <c r="AF720" s="31"/>
      <c r="AG720" s="31"/>
    </row>
    <row r="721" spans="1:33" s="32" customFormat="1" ht="15" customHeight="1">
      <c r="A721" s="37">
        <v>44004</v>
      </c>
      <c r="B721" s="57" t="s">
        <v>415</v>
      </c>
      <c r="C721" s="20" t="s">
        <v>47</v>
      </c>
      <c r="D721" s="20">
        <v>2500</v>
      </c>
      <c r="E721" s="38">
        <v>200</v>
      </c>
      <c r="F721" s="20" t="s">
        <v>8</v>
      </c>
      <c r="G721" s="43">
        <v>28</v>
      </c>
      <c r="H721" s="43">
        <v>35</v>
      </c>
      <c r="I721" s="43">
        <v>0</v>
      </c>
      <c r="J721" s="43">
        <v>0</v>
      </c>
      <c r="K721" s="1">
        <f t="shared" ref="K721" si="1748">(IF(F721="SELL",G721-H721,IF(F721="BUY",H721-G721)))*E721</f>
        <v>1400</v>
      </c>
      <c r="L721" s="43">
        <v>0</v>
      </c>
      <c r="M721" s="43">
        <v>0</v>
      </c>
      <c r="N721" s="1">
        <f t="shared" si="1701"/>
        <v>7</v>
      </c>
      <c r="O721" s="1">
        <f t="shared" si="1702"/>
        <v>1400</v>
      </c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  <c r="AA721" s="31"/>
      <c r="AB721" s="31"/>
      <c r="AC721" s="31"/>
      <c r="AD721" s="31"/>
      <c r="AE721" s="31"/>
      <c r="AF721" s="31"/>
      <c r="AG721" s="31"/>
    </row>
    <row r="722" spans="1:33" s="32" customFormat="1" ht="15" customHeight="1">
      <c r="A722" s="37">
        <v>44004</v>
      </c>
      <c r="B722" s="57" t="s">
        <v>98</v>
      </c>
      <c r="C722" s="20" t="s">
        <v>47</v>
      </c>
      <c r="D722" s="20">
        <v>405</v>
      </c>
      <c r="E722" s="38">
        <v>2300</v>
      </c>
      <c r="F722" s="20" t="s">
        <v>8</v>
      </c>
      <c r="G722" s="43">
        <v>4.5</v>
      </c>
      <c r="H722" s="43">
        <v>3.8</v>
      </c>
      <c r="I722" s="43">
        <v>0</v>
      </c>
      <c r="J722" s="43">
        <v>0</v>
      </c>
      <c r="K722" s="1">
        <f t="shared" ref="K722" si="1749">(IF(F722="SELL",G722-H722,IF(F722="BUY",H722-G722)))*E722</f>
        <v>-1610.0000000000005</v>
      </c>
      <c r="L722" s="43">
        <v>0</v>
      </c>
      <c r="M722" s="43">
        <v>0</v>
      </c>
      <c r="N722" s="1">
        <f t="shared" si="1701"/>
        <v>-0.70000000000000018</v>
      </c>
      <c r="O722" s="1">
        <f t="shared" si="1702"/>
        <v>-1610.0000000000005</v>
      </c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  <c r="AA722" s="31"/>
      <c r="AB722" s="31"/>
      <c r="AC722" s="31"/>
      <c r="AD722" s="31"/>
      <c r="AE722" s="31"/>
      <c r="AF722" s="31"/>
      <c r="AG722" s="31"/>
    </row>
    <row r="723" spans="1:33" s="32" customFormat="1" ht="15" customHeight="1">
      <c r="A723" s="37">
        <v>44001</v>
      </c>
      <c r="B723" s="57" t="s">
        <v>466</v>
      </c>
      <c r="C723" s="20" t="s">
        <v>47</v>
      </c>
      <c r="D723" s="20">
        <v>365</v>
      </c>
      <c r="E723" s="38">
        <v>1375</v>
      </c>
      <c r="F723" s="20" t="s">
        <v>8</v>
      </c>
      <c r="G723" s="43">
        <v>7</v>
      </c>
      <c r="H723" s="43">
        <v>9</v>
      </c>
      <c r="I723" s="43">
        <v>0</v>
      </c>
      <c r="J723" s="43">
        <v>0</v>
      </c>
      <c r="K723" s="1">
        <f t="shared" ref="K723:K725" si="1750">(IF(F723="SELL",G723-H723,IF(F723="BUY",H723-G723)))*E723</f>
        <v>2750</v>
      </c>
      <c r="L723" s="43">
        <v>0</v>
      </c>
      <c r="M723" s="43">
        <v>0</v>
      </c>
      <c r="N723" s="1">
        <f t="shared" si="1701"/>
        <v>2</v>
      </c>
      <c r="O723" s="1">
        <f t="shared" si="1702"/>
        <v>2750</v>
      </c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  <c r="AA723" s="31"/>
      <c r="AB723" s="31"/>
      <c r="AC723" s="31"/>
      <c r="AD723" s="31"/>
      <c r="AE723" s="31"/>
      <c r="AF723" s="31"/>
      <c r="AG723" s="31"/>
    </row>
    <row r="724" spans="1:33" s="32" customFormat="1" ht="15" customHeight="1">
      <c r="A724" s="37">
        <v>44001</v>
      </c>
      <c r="B724" s="57" t="s">
        <v>417</v>
      </c>
      <c r="C724" s="20" t="s">
        <v>47</v>
      </c>
      <c r="D724" s="20">
        <v>430</v>
      </c>
      <c r="E724" s="38">
        <v>1400</v>
      </c>
      <c r="F724" s="20" t="s">
        <v>8</v>
      </c>
      <c r="G724" s="43">
        <v>8</v>
      </c>
      <c r="H724" s="43">
        <v>6</v>
      </c>
      <c r="I724" s="43">
        <v>0</v>
      </c>
      <c r="J724" s="43">
        <v>0</v>
      </c>
      <c r="K724" s="1">
        <f t="shared" ref="K724" si="1751">(IF(F724="SELL",G724-H724,IF(F724="BUY",H724-G724)))*E724</f>
        <v>-2800</v>
      </c>
      <c r="L724" s="43">
        <v>0</v>
      </c>
      <c r="M724" s="43">
        <v>0</v>
      </c>
      <c r="N724" s="1">
        <f t="shared" si="1701"/>
        <v>-2</v>
      </c>
      <c r="O724" s="1">
        <f t="shared" si="1702"/>
        <v>-2800</v>
      </c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1"/>
      <c r="AD724" s="31"/>
      <c r="AE724" s="31"/>
      <c r="AF724" s="31"/>
      <c r="AG724" s="31"/>
    </row>
    <row r="725" spans="1:33" s="32" customFormat="1" ht="15" customHeight="1">
      <c r="A725" s="37">
        <v>44000</v>
      </c>
      <c r="B725" s="57" t="s">
        <v>39</v>
      </c>
      <c r="C725" s="20" t="s">
        <v>47</v>
      </c>
      <c r="D725" s="20">
        <v>1760</v>
      </c>
      <c r="E725" s="38">
        <v>1000</v>
      </c>
      <c r="F725" s="20" t="s">
        <v>8</v>
      </c>
      <c r="G725" s="43">
        <v>5.8</v>
      </c>
      <c r="H725" s="43">
        <v>7.8</v>
      </c>
      <c r="I725" s="43">
        <v>0</v>
      </c>
      <c r="J725" s="43">
        <v>0</v>
      </c>
      <c r="K725" s="1">
        <f t="shared" si="1750"/>
        <v>2000</v>
      </c>
      <c r="L725" s="43">
        <v>0</v>
      </c>
      <c r="M725" s="43">
        <v>0</v>
      </c>
      <c r="N725" s="1">
        <f t="shared" si="1701"/>
        <v>2</v>
      </c>
      <c r="O725" s="1">
        <f t="shared" si="1702"/>
        <v>2000</v>
      </c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1"/>
      <c r="AD725" s="31"/>
      <c r="AE725" s="31"/>
      <c r="AF725" s="31"/>
      <c r="AG725" s="31"/>
    </row>
    <row r="726" spans="1:33" s="32" customFormat="1" ht="15" customHeight="1">
      <c r="A726" s="37">
        <v>44000</v>
      </c>
      <c r="B726" s="57" t="s">
        <v>98</v>
      </c>
      <c r="C726" s="20" t="s">
        <v>47</v>
      </c>
      <c r="D726" s="20">
        <v>390</v>
      </c>
      <c r="E726" s="38">
        <v>2300</v>
      </c>
      <c r="F726" s="20" t="s">
        <v>8</v>
      </c>
      <c r="G726" s="43">
        <v>6.4</v>
      </c>
      <c r="H726" s="43">
        <v>7.4</v>
      </c>
      <c r="I726" s="43">
        <v>0</v>
      </c>
      <c r="J726" s="43">
        <v>0</v>
      </c>
      <c r="K726" s="1">
        <f t="shared" ref="K726" si="1752">(IF(F726="SELL",G726-H726,IF(F726="BUY",H726-G726)))*E726</f>
        <v>2300</v>
      </c>
      <c r="L726" s="43">
        <v>0</v>
      </c>
      <c r="M726" s="43">
        <v>0</v>
      </c>
      <c r="N726" s="1">
        <f t="shared" si="1701"/>
        <v>1</v>
      </c>
      <c r="O726" s="1">
        <f t="shared" si="1702"/>
        <v>2300</v>
      </c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1"/>
      <c r="AD726" s="31"/>
      <c r="AE726" s="31"/>
      <c r="AF726" s="31"/>
      <c r="AG726" s="31"/>
    </row>
    <row r="727" spans="1:33" s="32" customFormat="1" ht="15" customHeight="1">
      <c r="A727" s="37">
        <v>43999</v>
      </c>
      <c r="B727" s="57" t="s">
        <v>458</v>
      </c>
      <c r="C727" s="20" t="s">
        <v>47</v>
      </c>
      <c r="D727" s="20">
        <v>3500</v>
      </c>
      <c r="E727" s="38">
        <v>250</v>
      </c>
      <c r="F727" s="20" t="s">
        <v>8</v>
      </c>
      <c r="G727" s="43">
        <v>55</v>
      </c>
      <c r="H727" s="43">
        <v>65</v>
      </c>
      <c r="I727" s="43">
        <v>0</v>
      </c>
      <c r="J727" s="43">
        <v>0</v>
      </c>
      <c r="K727" s="1">
        <f t="shared" ref="K727" si="1753">(IF(F727="SELL",G727-H727,IF(F727="BUY",H727-G727)))*E727</f>
        <v>2500</v>
      </c>
      <c r="L727" s="43">
        <v>0</v>
      </c>
      <c r="M727" s="43">
        <v>0</v>
      </c>
      <c r="N727" s="1">
        <f t="shared" si="1701"/>
        <v>10</v>
      </c>
      <c r="O727" s="1">
        <f t="shared" si="1702"/>
        <v>2500</v>
      </c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  <c r="AA727" s="31"/>
      <c r="AB727" s="31"/>
      <c r="AC727" s="31"/>
      <c r="AD727" s="31"/>
      <c r="AE727" s="31"/>
      <c r="AF727" s="31"/>
      <c r="AG727" s="31"/>
    </row>
    <row r="728" spans="1:33" s="32" customFormat="1" ht="15" customHeight="1">
      <c r="A728" s="37">
        <v>43999</v>
      </c>
      <c r="B728" s="57" t="s">
        <v>453</v>
      </c>
      <c r="C728" s="20" t="s">
        <v>47</v>
      </c>
      <c r="D728" s="20">
        <v>1100</v>
      </c>
      <c r="E728" s="38">
        <v>1100</v>
      </c>
      <c r="F728" s="20" t="s">
        <v>8</v>
      </c>
      <c r="G728" s="43">
        <v>5.7</v>
      </c>
      <c r="H728" s="43">
        <v>7.7</v>
      </c>
      <c r="I728" s="43">
        <v>0</v>
      </c>
      <c r="J728" s="43">
        <v>0</v>
      </c>
      <c r="K728" s="1">
        <f t="shared" ref="K728" si="1754">(IF(F728="SELL",G728-H728,IF(F728="BUY",H728-G728)))*E728</f>
        <v>2200</v>
      </c>
      <c r="L728" s="43">
        <v>0</v>
      </c>
      <c r="M728" s="43">
        <v>0</v>
      </c>
      <c r="N728" s="1">
        <f t="shared" si="1701"/>
        <v>2</v>
      </c>
      <c r="O728" s="1">
        <f t="shared" si="1702"/>
        <v>2200</v>
      </c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  <c r="AA728" s="31"/>
      <c r="AB728" s="31"/>
      <c r="AC728" s="31"/>
      <c r="AD728" s="31"/>
      <c r="AE728" s="31"/>
      <c r="AF728" s="31"/>
      <c r="AG728" s="31"/>
    </row>
    <row r="729" spans="1:33" s="32" customFormat="1" ht="15" customHeight="1">
      <c r="A729" s="37">
        <v>43999</v>
      </c>
      <c r="B729" s="57" t="s">
        <v>122</v>
      </c>
      <c r="C729" s="20" t="s">
        <v>47</v>
      </c>
      <c r="D729" s="20">
        <v>1900</v>
      </c>
      <c r="E729" s="38">
        <v>250</v>
      </c>
      <c r="F729" s="20" t="s">
        <v>8</v>
      </c>
      <c r="G729" s="43">
        <v>34</v>
      </c>
      <c r="H729" s="43">
        <v>22</v>
      </c>
      <c r="I729" s="43">
        <v>0</v>
      </c>
      <c r="J729" s="43">
        <v>0</v>
      </c>
      <c r="K729" s="1">
        <f t="shared" ref="K729" si="1755">(IF(F729="SELL",G729-H729,IF(F729="BUY",H729-G729)))*E729</f>
        <v>-3000</v>
      </c>
      <c r="L729" s="43">
        <v>0</v>
      </c>
      <c r="M729" s="43">
        <v>0</v>
      </c>
      <c r="N729" s="1">
        <f t="shared" si="1701"/>
        <v>-12</v>
      </c>
      <c r="O729" s="1">
        <f t="shared" si="1702"/>
        <v>-3000</v>
      </c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  <c r="AA729" s="31"/>
      <c r="AB729" s="31"/>
      <c r="AC729" s="31"/>
      <c r="AD729" s="31"/>
      <c r="AE729" s="31"/>
      <c r="AF729" s="31"/>
      <c r="AG729" s="31"/>
    </row>
    <row r="730" spans="1:33" s="32" customFormat="1" ht="15" customHeight="1">
      <c r="A730" s="37">
        <v>43998</v>
      </c>
      <c r="B730" s="57" t="s">
        <v>20</v>
      </c>
      <c r="C730" s="20" t="s">
        <v>47</v>
      </c>
      <c r="D730" s="20">
        <v>710</v>
      </c>
      <c r="E730" s="38">
        <v>1200</v>
      </c>
      <c r="F730" s="20" t="s">
        <v>8</v>
      </c>
      <c r="G730" s="43">
        <v>14.8</v>
      </c>
      <c r="H730" s="43">
        <v>16.399999999999999</v>
      </c>
      <c r="I730" s="43">
        <v>0</v>
      </c>
      <c r="J730" s="43">
        <v>0</v>
      </c>
      <c r="K730" s="1">
        <f t="shared" ref="K730" si="1756">(IF(F730="SELL",G730-H730,IF(F730="BUY",H730-G730)))*E730</f>
        <v>1919.9999999999975</v>
      </c>
      <c r="L730" s="43">
        <v>0</v>
      </c>
      <c r="M730" s="43">
        <v>0</v>
      </c>
      <c r="N730" s="1">
        <f t="shared" si="1701"/>
        <v>1.5999999999999979</v>
      </c>
      <c r="O730" s="1">
        <f t="shared" si="1702"/>
        <v>1919.9999999999975</v>
      </c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  <c r="AA730" s="31"/>
      <c r="AB730" s="31"/>
      <c r="AC730" s="31"/>
      <c r="AD730" s="31"/>
      <c r="AE730" s="31"/>
      <c r="AF730" s="31"/>
      <c r="AG730" s="31"/>
    </row>
    <row r="731" spans="1:33" s="32" customFormat="1" ht="15" customHeight="1">
      <c r="A731" s="37">
        <v>43998</v>
      </c>
      <c r="B731" s="57" t="s">
        <v>332</v>
      </c>
      <c r="C731" s="20" t="s">
        <v>46</v>
      </c>
      <c r="D731" s="20">
        <v>530</v>
      </c>
      <c r="E731" s="38">
        <v>1200</v>
      </c>
      <c r="F731" s="20" t="s">
        <v>8</v>
      </c>
      <c r="G731" s="43">
        <v>10.1</v>
      </c>
      <c r="H731" s="43">
        <v>12.1</v>
      </c>
      <c r="I731" s="43">
        <v>15.1</v>
      </c>
      <c r="J731" s="43">
        <v>18</v>
      </c>
      <c r="K731" s="1">
        <f t="shared" ref="K731" si="1757">(IF(F731="SELL",G731-H731,IF(F731="BUY",H731-G731)))*E731</f>
        <v>2400</v>
      </c>
      <c r="L731" s="43">
        <v>3600</v>
      </c>
      <c r="M731" s="43">
        <v>3200</v>
      </c>
      <c r="N731" s="1">
        <f t="shared" si="1701"/>
        <v>7.666666666666667</v>
      </c>
      <c r="O731" s="1">
        <f t="shared" si="1702"/>
        <v>9200</v>
      </c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  <c r="AA731" s="31"/>
      <c r="AB731" s="31"/>
      <c r="AC731" s="31"/>
      <c r="AD731" s="31"/>
      <c r="AE731" s="31"/>
      <c r="AF731" s="31"/>
      <c r="AG731" s="31"/>
    </row>
    <row r="732" spans="1:33" s="32" customFormat="1" ht="15" customHeight="1">
      <c r="A732" s="37">
        <v>43997</v>
      </c>
      <c r="B732" s="57" t="s">
        <v>21</v>
      </c>
      <c r="C732" s="20" t="s">
        <v>46</v>
      </c>
      <c r="D732" s="20">
        <v>165</v>
      </c>
      <c r="E732" s="38">
        <v>3000</v>
      </c>
      <c r="F732" s="20" t="s">
        <v>8</v>
      </c>
      <c r="G732" s="43">
        <v>4.4000000000000004</v>
      </c>
      <c r="H732" s="43">
        <v>5.25</v>
      </c>
      <c r="I732" s="43">
        <v>0</v>
      </c>
      <c r="J732" s="43">
        <v>0</v>
      </c>
      <c r="K732" s="1">
        <f t="shared" ref="K732" si="1758">(IF(F732="SELL",G732-H732,IF(F732="BUY",H732-G732)))*E732</f>
        <v>2549.9999999999991</v>
      </c>
      <c r="L732" s="43">
        <v>0</v>
      </c>
      <c r="M732" s="43">
        <v>0</v>
      </c>
      <c r="N732" s="1">
        <f t="shared" si="1701"/>
        <v>0.84999999999999964</v>
      </c>
      <c r="O732" s="1">
        <f t="shared" si="1702"/>
        <v>2549.9999999999991</v>
      </c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  <c r="AA732" s="31"/>
      <c r="AB732" s="31"/>
      <c r="AC732" s="31"/>
      <c r="AD732" s="31"/>
      <c r="AE732" s="31"/>
      <c r="AF732" s="31"/>
      <c r="AG732" s="31"/>
    </row>
    <row r="733" spans="1:33" s="32" customFormat="1" ht="15" customHeight="1">
      <c r="A733" s="37">
        <v>43997</v>
      </c>
      <c r="B733" s="57" t="s">
        <v>18</v>
      </c>
      <c r="C733" s="20" t="s">
        <v>47</v>
      </c>
      <c r="D733" s="20">
        <v>680</v>
      </c>
      <c r="E733" s="38">
        <v>1150</v>
      </c>
      <c r="F733" s="20" t="s">
        <v>8</v>
      </c>
      <c r="G733" s="43">
        <v>9.5</v>
      </c>
      <c r="H733" s="43">
        <v>8</v>
      </c>
      <c r="I733" s="43">
        <v>0</v>
      </c>
      <c r="J733" s="43">
        <v>0</v>
      </c>
      <c r="K733" s="1">
        <f t="shared" ref="K733" si="1759">(IF(F733="SELL",G733-H733,IF(F733="BUY",H733-G733)))*E733</f>
        <v>-1725</v>
      </c>
      <c r="L733" s="43">
        <v>0</v>
      </c>
      <c r="M733" s="43">
        <v>0</v>
      </c>
      <c r="N733" s="1">
        <f t="shared" si="1701"/>
        <v>-1.5</v>
      </c>
      <c r="O733" s="1">
        <f t="shared" si="1702"/>
        <v>-1725</v>
      </c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  <c r="AA733" s="31"/>
      <c r="AB733" s="31"/>
      <c r="AC733" s="31"/>
      <c r="AD733" s="31"/>
      <c r="AE733" s="31"/>
      <c r="AF733" s="31"/>
      <c r="AG733" s="31"/>
    </row>
    <row r="734" spans="1:33" s="32" customFormat="1" ht="15" customHeight="1">
      <c r="A734" s="37">
        <v>43994</v>
      </c>
      <c r="B734" s="57" t="s">
        <v>72</v>
      </c>
      <c r="C734" s="20" t="s">
        <v>47</v>
      </c>
      <c r="D734" s="20">
        <v>440</v>
      </c>
      <c r="E734" s="38">
        <v>1800</v>
      </c>
      <c r="F734" s="20" t="s">
        <v>8</v>
      </c>
      <c r="G734" s="43">
        <v>2.9</v>
      </c>
      <c r="H734" s="43">
        <v>2.5</v>
      </c>
      <c r="I734" s="43">
        <v>0</v>
      </c>
      <c r="J734" s="43">
        <v>0</v>
      </c>
      <c r="K734" s="1">
        <f t="shared" ref="K734" si="1760">(IF(F734="SELL",G734-H734,IF(F734="BUY",H734-G734)))*E734</f>
        <v>-719.99999999999989</v>
      </c>
      <c r="L734" s="43">
        <v>0</v>
      </c>
      <c r="M734" s="43">
        <v>0</v>
      </c>
      <c r="N734" s="1">
        <f t="shared" si="1701"/>
        <v>-0.39999999999999991</v>
      </c>
      <c r="O734" s="1">
        <f t="shared" si="1702"/>
        <v>-719.99999999999989</v>
      </c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1"/>
      <c r="AD734" s="31"/>
      <c r="AE734" s="31"/>
      <c r="AF734" s="31"/>
      <c r="AG734" s="31"/>
    </row>
    <row r="735" spans="1:33" s="32" customFormat="1" ht="15" customHeight="1">
      <c r="A735" s="37">
        <v>43993</v>
      </c>
      <c r="B735" s="57" t="s">
        <v>175</v>
      </c>
      <c r="C735" s="20" t="s">
        <v>46</v>
      </c>
      <c r="D735" s="20">
        <v>2100</v>
      </c>
      <c r="E735" s="38">
        <v>250</v>
      </c>
      <c r="F735" s="20" t="s">
        <v>8</v>
      </c>
      <c r="G735" s="43">
        <v>45</v>
      </c>
      <c r="H735" s="43">
        <v>53.95</v>
      </c>
      <c r="I735" s="43">
        <v>0</v>
      </c>
      <c r="J735" s="43">
        <v>0</v>
      </c>
      <c r="K735" s="1">
        <f t="shared" ref="K735" si="1761">(IF(F735="SELL",G735-H735,IF(F735="BUY",H735-G735)))*E735</f>
        <v>2237.5000000000009</v>
      </c>
      <c r="L735" s="43">
        <v>0</v>
      </c>
      <c r="M735" s="43">
        <v>0</v>
      </c>
      <c r="N735" s="1">
        <f t="shared" si="1701"/>
        <v>8.9500000000000028</v>
      </c>
      <c r="O735" s="1">
        <f t="shared" si="1702"/>
        <v>2237.5000000000009</v>
      </c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1"/>
      <c r="AD735" s="31"/>
      <c r="AE735" s="31"/>
      <c r="AF735" s="31"/>
      <c r="AG735" s="31"/>
    </row>
    <row r="736" spans="1:33" s="32" customFormat="1" ht="15" customHeight="1">
      <c r="A736" s="37">
        <v>43993</v>
      </c>
      <c r="B736" s="57" t="s">
        <v>423</v>
      </c>
      <c r="C736" s="20" t="s">
        <v>47</v>
      </c>
      <c r="D736" s="20">
        <v>900</v>
      </c>
      <c r="E736" s="38">
        <v>1000</v>
      </c>
      <c r="F736" s="20" t="s">
        <v>8</v>
      </c>
      <c r="G736" s="43">
        <v>6.3</v>
      </c>
      <c r="H736" s="43">
        <v>8.3000000000000007</v>
      </c>
      <c r="I736" s="43">
        <v>0</v>
      </c>
      <c r="J736" s="43">
        <v>0</v>
      </c>
      <c r="K736" s="1">
        <f t="shared" ref="K736" si="1762">(IF(F736="SELL",G736-H736,IF(F736="BUY",H736-G736)))*E736</f>
        <v>2000.0000000000009</v>
      </c>
      <c r="L736" s="43">
        <v>2500</v>
      </c>
      <c r="M736" s="43">
        <v>0</v>
      </c>
      <c r="N736" s="1">
        <f t="shared" ref="N736:N799" si="1763">(L736+K736+M736)/E736</f>
        <v>4.5000000000000009</v>
      </c>
      <c r="O736" s="1">
        <f t="shared" ref="O736:O799" si="1764">N736*E736</f>
        <v>4500.0000000000009</v>
      </c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1"/>
      <c r="AD736" s="31"/>
      <c r="AE736" s="31"/>
      <c r="AF736" s="31"/>
      <c r="AG736" s="31"/>
    </row>
    <row r="737" spans="1:33" s="32" customFormat="1" ht="15" customHeight="1">
      <c r="A737" s="37">
        <v>43993</v>
      </c>
      <c r="B737" s="57" t="s">
        <v>58</v>
      </c>
      <c r="C737" s="20" t="s">
        <v>47</v>
      </c>
      <c r="D737" s="20">
        <v>580</v>
      </c>
      <c r="E737" s="38">
        <v>1000</v>
      </c>
      <c r="F737" s="20" t="s">
        <v>8</v>
      </c>
      <c r="G737" s="43">
        <v>13.5</v>
      </c>
      <c r="H737" s="43">
        <v>10.5</v>
      </c>
      <c r="I737" s="43">
        <v>0</v>
      </c>
      <c r="J737" s="43">
        <v>0</v>
      </c>
      <c r="K737" s="1">
        <f t="shared" ref="K737" si="1765">(IF(F737="SELL",G737-H737,IF(F737="BUY",H737-G737)))*E737</f>
        <v>-3000</v>
      </c>
      <c r="L737" s="43">
        <v>0</v>
      </c>
      <c r="M737" s="43">
        <v>0</v>
      </c>
      <c r="N737" s="1">
        <f t="shared" si="1763"/>
        <v>-3</v>
      </c>
      <c r="O737" s="1">
        <f t="shared" si="1764"/>
        <v>-3000</v>
      </c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  <c r="AA737" s="31"/>
      <c r="AB737" s="31"/>
      <c r="AC737" s="31"/>
      <c r="AD737" s="31"/>
      <c r="AE737" s="31"/>
      <c r="AF737" s="31"/>
      <c r="AG737" s="31"/>
    </row>
    <row r="738" spans="1:33" s="32" customFormat="1" ht="15" customHeight="1">
      <c r="A738" s="37">
        <v>43992</v>
      </c>
      <c r="B738" s="57" t="s">
        <v>37</v>
      </c>
      <c r="C738" s="20" t="s">
        <v>47</v>
      </c>
      <c r="D738" s="20">
        <v>2100</v>
      </c>
      <c r="E738" s="38">
        <v>250</v>
      </c>
      <c r="F738" s="20" t="s">
        <v>8</v>
      </c>
      <c r="G738" s="43">
        <v>59</v>
      </c>
      <c r="H738" s="43">
        <v>69</v>
      </c>
      <c r="I738" s="43">
        <v>79</v>
      </c>
      <c r="J738" s="43">
        <v>0</v>
      </c>
      <c r="K738" s="1">
        <f t="shared" ref="K738" si="1766">(IF(F738="SELL",G738-H738,IF(F738="BUY",H738-G738)))*E738</f>
        <v>2500</v>
      </c>
      <c r="L738" s="43">
        <v>2500</v>
      </c>
      <c r="M738" s="43">
        <v>0</v>
      </c>
      <c r="N738" s="1">
        <f t="shared" si="1763"/>
        <v>20</v>
      </c>
      <c r="O738" s="1">
        <f t="shared" si="1764"/>
        <v>5000</v>
      </c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  <c r="AA738" s="31"/>
      <c r="AB738" s="31"/>
      <c r="AC738" s="31"/>
      <c r="AD738" s="31"/>
      <c r="AE738" s="31"/>
      <c r="AF738" s="31"/>
      <c r="AG738" s="31"/>
    </row>
    <row r="739" spans="1:33" s="32" customFormat="1" ht="15" customHeight="1">
      <c r="A739" s="37">
        <v>43992</v>
      </c>
      <c r="B739" s="57" t="s">
        <v>454</v>
      </c>
      <c r="C739" s="20" t="s">
        <v>47</v>
      </c>
      <c r="D739" s="20">
        <v>1010</v>
      </c>
      <c r="E739" s="38">
        <v>700</v>
      </c>
      <c r="F739" s="20" t="s">
        <v>8</v>
      </c>
      <c r="G739" s="43">
        <v>12.5</v>
      </c>
      <c r="H739" s="43">
        <v>10</v>
      </c>
      <c r="I739" s="43">
        <v>0</v>
      </c>
      <c r="J739" s="43">
        <v>0</v>
      </c>
      <c r="K739" s="1">
        <f t="shared" ref="K739" si="1767">(IF(F739="SELL",G739-H739,IF(F739="BUY",H739-G739)))*E739</f>
        <v>-1750</v>
      </c>
      <c r="L739" s="43">
        <v>0</v>
      </c>
      <c r="M739" s="43">
        <v>0</v>
      </c>
      <c r="N739" s="1">
        <f t="shared" si="1763"/>
        <v>-2.5</v>
      </c>
      <c r="O739" s="1">
        <f t="shared" si="1764"/>
        <v>-1750</v>
      </c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  <c r="AA739" s="31"/>
      <c r="AB739" s="31"/>
      <c r="AC739" s="31"/>
      <c r="AD739" s="31"/>
      <c r="AE739" s="31"/>
      <c r="AF739" s="31"/>
      <c r="AG739" s="31"/>
    </row>
    <row r="740" spans="1:33" s="32" customFormat="1" ht="15" customHeight="1">
      <c r="A740" s="37">
        <v>43991</v>
      </c>
      <c r="B740" s="57" t="s">
        <v>363</v>
      </c>
      <c r="C740" s="20" t="s">
        <v>47</v>
      </c>
      <c r="D740" s="20">
        <v>1000</v>
      </c>
      <c r="E740" s="38">
        <v>750</v>
      </c>
      <c r="F740" s="20" t="s">
        <v>8</v>
      </c>
      <c r="G740" s="43">
        <v>22</v>
      </c>
      <c r="H740" s="43">
        <v>26</v>
      </c>
      <c r="I740" s="43">
        <v>30</v>
      </c>
      <c r="J740" s="43">
        <v>38</v>
      </c>
      <c r="K740" s="1">
        <f t="shared" ref="K740" si="1768">(IF(F740="SELL",G740-H740,IF(F740="BUY",H740-G740)))*E740</f>
        <v>3000</v>
      </c>
      <c r="L740" s="43">
        <v>3000</v>
      </c>
      <c r="M740" s="43">
        <f>750*8</f>
        <v>6000</v>
      </c>
      <c r="N740" s="1">
        <f t="shared" si="1763"/>
        <v>16</v>
      </c>
      <c r="O740" s="1">
        <f t="shared" si="1764"/>
        <v>12000</v>
      </c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  <c r="AA740" s="31"/>
      <c r="AB740" s="31"/>
      <c r="AC740" s="31"/>
      <c r="AD740" s="31"/>
      <c r="AE740" s="31"/>
      <c r="AF740" s="31"/>
      <c r="AG740" s="31"/>
    </row>
    <row r="741" spans="1:33" s="32" customFormat="1" ht="15" customHeight="1">
      <c r="A741" s="37">
        <v>43991</v>
      </c>
      <c r="B741" s="57" t="s">
        <v>417</v>
      </c>
      <c r="C741" s="20" t="s">
        <v>47</v>
      </c>
      <c r="D741" s="20">
        <v>450</v>
      </c>
      <c r="E741" s="38">
        <v>1400</v>
      </c>
      <c r="F741" s="20" t="s">
        <v>8</v>
      </c>
      <c r="G741" s="43">
        <v>10.199999999999999</v>
      </c>
      <c r="H741" s="43">
        <v>11.8</v>
      </c>
      <c r="I741" s="43">
        <v>0</v>
      </c>
      <c r="J741" s="43">
        <v>0</v>
      </c>
      <c r="K741" s="1">
        <f t="shared" ref="K741" si="1769">(IF(F741="SELL",G741-H741,IF(F741="BUY",H741-G741)))*E741</f>
        <v>2240.0000000000018</v>
      </c>
      <c r="L741" s="43">
        <v>0</v>
      </c>
      <c r="M741" s="43">
        <v>0</v>
      </c>
      <c r="N741" s="1">
        <f t="shared" si="1763"/>
        <v>1.6000000000000012</v>
      </c>
      <c r="O741" s="1">
        <f t="shared" si="1764"/>
        <v>2240.0000000000018</v>
      </c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  <c r="AA741" s="31"/>
      <c r="AB741" s="31"/>
      <c r="AC741" s="31"/>
      <c r="AD741" s="31"/>
      <c r="AE741" s="31"/>
      <c r="AF741" s="31"/>
      <c r="AG741" s="31"/>
    </row>
    <row r="742" spans="1:33" s="32" customFormat="1" ht="15" customHeight="1">
      <c r="A742" s="37">
        <v>43991</v>
      </c>
      <c r="B742" s="57" t="s">
        <v>106</v>
      </c>
      <c r="C742" s="20" t="s">
        <v>47</v>
      </c>
      <c r="D742" s="20">
        <v>370</v>
      </c>
      <c r="E742" s="38">
        <v>250</v>
      </c>
      <c r="F742" s="20" t="s">
        <v>8</v>
      </c>
      <c r="G742" s="43">
        <v>47</v>
      </c>
      <c r="H742" s="43">
        <v>47</v>
      </c>
      <c r="I742" s="43">
        <v>0</v>
      </c>
      <c r="J742" s="43">
        <v>0</v>
      </c>
      <c r="K742" s="1">
        <f t="shared" ref="K742" si="1770">(IF(F742="SELL",G742-H742,IF(F742="BUY",H742-G742)))*E742</f>
        <v>0</v>
      </c>
      <c r="L742" s="43">
        <v>0</v>
      </c>
      <c r="M742" s="43">
        <v>0</v>
      </c>
      <c r="N742" s="1">
        <f t="shared" si="1763"/>
        <v>0</v>
      </c>
      <c r="O742" s="1">
        <f t="shared" si="1764"/>
        <v>0</v>
      </c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  <c r="AA742" s="31"/>
      <c r="AB742" s="31"/>
      <c r="AC742" s="31"/>
      <c r="AD742" s="31"/>
      <c r="AE742" s="31"/>
      <c r="AF742" s="31"/>
      <c r="AG742" s="31"/>
    </row>
    <row r="743" spans="1:33" s="32" customFormat="1" ht="15" customHeight="1">
      <c r="A743" s="37">
        <v>43990</v>
      </c>
      <c r="B743" s="57" t="s">
        <v>363</v>
      </c>
      <c r="C743" s="20" t="s">
        <v>47</v>
      </c>
      <c r="D743" s="20">
        <v>1040</v>
      </c>
      <c r="E743" s="38">
        <v>750</v>
      </c>
      <c r="F743" s="20" t="s">
        <v>8</v>
      </c>
      <c r="G743" s="43">
        <v>12</v>
      </c>
      <c r="H743" s="43">
        <v>16</v>
      </c>
      <c r="I743" s="43">
        <v>20</v>
      </c>
      <c r="J743" s="43">
        <v>0</v>
      </c>
      <c r="K743" s="1">
        <f t="shared" ref="K743" si="1771">(IF(F743="SELL",G743-H743,IF(F743="BUY",H743-G743)))*E743</f>
        <v>3000</v>
      </c>
      <c r="L743" s="43">
        <v>3000</v>
      </c>
      <c r="M743" s="43">
        <v>0</v>
      </c>
      <c r="N743" s="1">
        <f t="shared" si="1763"/>
        <v>8</v>
      </c>
      <c r="O743" s="1">
        <f t="shared" si="1764"/>
        <v>6000</v>
      </c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  <c r="AA743" s="31"/>
      <c r="AB743" s="31"/>
      <c r="AC743" s="31"/>
      <c r="AD743" s="31"/>
      <c r="AE743" s="31"/>
      <c r="AF743" s="31"/>
      <c r="AG743" s="31"/>
    </row>
    <row r="744" spans="1:33" s="32" customFormat="1" ht="15" customHeight="1">
      <c r="A744" s="37">
        <v>43990</v>
      </c>
      <c r="B744" s="57" t="s">
        <v>20</v>
      </c>
      <c r="C744" s="20" t="s">
        <v>47</v>
      </c>
      <c r="D744" s="20">
        <v>760</v>
      </c>
      <c r="E744" s="38">
        <v>1200</v>
      </c>
      <c r="F744" s="20" t="s">
        <v>8</v>
      </c>
      <c r="G744" s="43">
        <v>7.1</v>
      </c>
      <c r="H744" s="43">
        <v>9.1</v>
      </c>
      <c r="I744" s="43">
        <v>0</v>
      </c>
      <c r="J744" s="43">
        <v>0</v>
      </c>
      <c r="K744" s="1">
        <f t="shared" ref="K744" si="1772">(IF(F744="SELL",G744-H744,IF(F744="BUY",H744-G744)))*E744</f>
        <v>2400</v>
      </c>
      <c r="L744" s="43">
        <v>0</v>
      </c>
      <c r="M744" s="43">
        <v>0</v>
      </c>
      <c r="N744" s="1">
        <f t="shared" si="1763"/>
        <v>2</v>
      </c>
      <c r="O744" s="1">
        <f t="shared" si="1764"/>
        <v>2400</v>
      </c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1"/>
      <c r="AD744" s="31"/>
      <c r="AE744" s="31"/>
      <c r="AF744" s="31"/>
      <c r="AG744" s="31"/>
    </row>
    <row r="745" spans="1:33" s="32" customFormat="1" ht="15" customHeight="1">
      <c r="A745" s="37">
        <v>43987</v>
      </c>
      <c r="B745" s="57" t="s">
        <v>16</v>
      </c>
      <c r="C745" s="20" t="s">
        <v>47</v>
      </c>
      <c r="D745" s="20">
        <v>370</v>
      </c>
      <c r="E745" s="38">
        <v>2500</v>
      </c>
      <c r="F745" s="20" t="s">
        <v>8</v>
      </c>
      <c r="G745" s="43">
        <v>3.5</v>
      </c>
      <c r="H745" s="43">
        <v>4.3</v>
      </c>
      <c r="I745" s="43">
        <v>0</v>
      </c>
      <c r="J745" s="43">
        <v>0</v>
      </c>
      <c r="K745" s="1">
        <f t="shared" ref="K745" si="1773">(IF(F745="SELL",G745-H745,IF(F745="BUY",H745-G745)))*E745</f>
        <v>1999.9999999999995</v>
      </c>
      <c r="L745" s="43">
        <v>0</v>
      </c>
      <c r="M745" s="43">
        <v>0</v>
      </c>
      <c r="N745" s="1">
        <f t="shared" si="1763"/>
        <v>0.79999999999999982</v>
      </c>
      <c r="O745" s="1">
        <f t="shared" si="1764"/>
        <v>1999.9999999999995</v>
      </c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1"/>
      <c r="AD745" s="31"/>
      <c r="AE745" s="31"/>
      <c r="AF745" s="31"/>
      <c r="AG745" s="31"/>
    </row>
    <row r="746" spans="1:33" s="32" customFormat="1" ht="15" customHeight="1">
      <c r="A746" s="37">
        <v>43987</v>
      </c>
      <c r="B746" s="57" t="s">
        <v>106</v>
      </c>
      <c r="C746" s="20" t="s">
        <v>47</v>
      </c>
      <c r="D746" s="20">
        <v>4300</v>
      </c>
      <c r="E746" s="38">
        <v>250</v>
      </c>
      <c r="F746" s="20" t="s">
        <v>8</v>
      </c>
      <c r="G746" s="43">
        <v>60</v>
      </c>
      <c r="H746" s="43">
        <v>55</v>
      </c>
      <c r="I746" s="43">
        <v>0</v>
      </c>
      <c r="J746" s="43">
        <v>0</v>
      </c>
      <c r="K746" s="1">
        <f t="shared" ref="K746" si="1774">(IF(F746="SELL",G746-H746,IF(F746="BUY",H746-G746)))*E746</f>
        <v>-1250</v>
      </c>
      <c r="L746" s="43">
        <v>0</v>
      </c>
      <c r="M746" s="43">
        <v>0</v>
      </c>
      <c r="N746" s="1">
        <f t="shared" si="1763"/>
        <v>-5</v>
      </c>
      <c r="O746" s="1">
        <f t="shared" si="1764"/>
        <v>-1250</v>
      </c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1"/>
      <c r="AD746" s="31"/>
      <c r="AE746" s="31"/>
      <c r="AF746" s="31"/>
      <c r="AG746" s="31"/>
    </row>
    <row r="747" spans="1:33" s="32" customFormat="1" ht="15" customHeight="1">
      <c r="A747" s="37">
        <v>43986</v>
      </c>
      <c r="B747" s="57" t="s">
        <v>391</v>
      </c>
      <c r="C747" s="20" t="s">
        <v>47</v>
      </c>
      <c r="D747" s="20">
        <v>500</v>
      </c>
      <c r="E747" s="38">
        <v>1250</v>
      </c>
      <c r="F747" s="20" t="s">
        <v>8</v>
      </c>
      <c r="G747" s="43">
        <v>15</v>
      </c>
      <c r="H747" s="43">
        <v>18</v>
      </c>
      <c r="I747" s="43">
        <v>22</v>
      </c>
      <c r="J747" s="43">
        <v>0</v>
      </c>
      <c r="K747" s="1">
        <f t="shared" ref="K747" si="1775">(IF(F747="SELL",G747-H747,IF(F747="BUY",H747-G747)))*E747</f>
        <v>3750</v>
      </c>
      <c r="L747" s="43">
        <f>D747*4</f>
        <v>2000</v>
      </c>
      <c r="M747" s="43">
        <v>0</v>
      </c>
      <c r="N747" s="1">
        <f t="shared" si="1763"/>
        <v>4.5999999999999996</v>
      </c>
      <c r="O747" s="1">
        <f t="shared" si="1764"/>
        <v>5750</v>
      </c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  <c r="AA747" s="31"/>
      <c r="AB747" s="31"/>
      <c r="AC747" s="31"/>
      <c r="AD747" s="31"/>
      <c r="AE747" s="31"/>
      <c r="AF747" s="31"/>
      <c r="AG747" s="31"/>
    </row>
    <row r="748" spans="1:33" s="32" customFormat="1" ht="15" customHeight="1">
      <c r="A748" s="37">
        <v>43986</v>
      </c>
      <c r="B748" s="57" t="s">
        <v>454</v>
      </c>
      <c r="C748" s="20" t="s">
        <v>47</v>
      </c>
      <c r="D748" s="20">
        <v>920</v>
      </c>
      <c r="E748" s="38">
        <v>700</v>
      </c>
      <c r="F748" s="20" t="s">
        <v>8</v>
      </c>
      <c r="G748" s="43">
        <v>25.5</v>
      </c>
      <c r="H748" s="43">
        <v>29.5</v>
      </c>
      <c r="I748" s="43">
        <v>35</v>
      </c>
      <c r="J748" s="43">
        <v>0</v>
      </c>
      <c r="K748" s="1">
        <f t="shared" ref="K748" si="1776">(IF(F748="SELL",G748-H748,IF(F748="BUY",H748-G748)))*E748</f>
        <v>2800</v>
      </c>
      <c r="L748" s="43">
        <f>700*5.5</f>
        <v>3850</v>
      </c>
      <c r="M748" s="43">
        <v>0</v>
      </c>
      <c r="N748" s="1">
        <f t="shared" si="1763"/>
        <v>9.5</v>
      </c>
      <c r="O748" s="1">
        <f t="shared" si="1764"/>
        <v>6650</v>
      </c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  <c r="AA748" s="31"/>
      <c r="AB748" s="31"/>
      <c r="AC748" s="31"/>
      <c r="AD748" s="31"/>
      <c r="AE748" s="31"/>
      <c r="AF748" s="31"/>
      <c r="AG748" s="31"/>
    </row>
    <row r="749" spans="1:33" s="32" customFormat="1" ht="15" customHeight="1">
      <c r="A749" s="37">
        <v>43985</v>
      </c>
      <c r="B749" s="57" t="s">
        <v>453</v>
      </c>
      <c r="C749" s="20" t="s">
        <v>47</v>
      </c>
      <c r="D749" s="20">
        <v>1080</v>
      </c>
      <c r="E749" s="38">
        <v>1100</v>
      </c>
      <c r="F749" s="20" t="s">
        <v>8</v>
      </c>
      <c r="G749" s="43">
        <v>12.5</v>
      </c>
      <c r="H749" s="43">
        <v>15.5</v>
      </c>
      <c r="I749" s="43">
        <v>0</v>
      </c>
      <c r="J749" s="43">
        <v>0</v>
      </c>
      <c r="K749" s="1">
        <f t="shared" ref="K749" si="1777">(IF(F749="SELL",G749-H749,IF(F749="BUY",H749-G749)))*E749</f>
        <v>3300</v>
      </c>
      <c r="L749" s="43">
        <v>0</v>
      </c>
      <c r="M749" s="43">
        <v>0</v>
      </c>
      <c r="N749" s="1">
        <f t="shared" si="1763"/>
        <v>3</v>
      </c>
      <c r="O749" s="1">
        <f t="shared" si="1764"/>
        <v>3300</v>
      </c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  <c r="AA749" s="31"/>
      <c r="AB749" s="31"/>
      <c r="AC749" s="31"/>
      <c r="AD749" s="31"/>
      <c r="AE749" s="31"/>
      <c r="AF749" s="31"/>
      <c r="AG749" s="31"/>
    </row>
    <row r="750" spans="1:33" s="32" customFormat="1" ht="15" customHeight="1">
      <c r="A750" s="37">
        <v>43985</v>
      </c>
      <c r="B750" s="57" t="s">
        <v>454</v>
      </c>
      <c r="C750" s="20" t="s">
        <v>47</v>
      </c>
      <c r="D750" s="20">
        <v>920</v>
      </c>
      <c r="E750" s="38">
        <v>700</v>
      </c>
      <c r="F750" s="20" t="s">
        <v>8</v>
      </c>
      <c r="G750" s="43">
        <v>24.5</v>
      </c>
      <c r="H750" s="43">
        <v>24.5</v>
      </c>
      <c r="I750" s="43">
        <v>0</v>
      </c>
      <c r="J750" s="43">
        <v>0</v>
      </c>
      <c r="K750" s="1">
        <f t="shared" ref="K750" si="1778">(IF(F750="SELL",G750-H750,IF(F750="BUY",H750-G750)))*E750</f>
        <v>0</v>
      </c>
      <c r="L750" s="43">
        <v>0</v>
      </c>
      <c r="M750" s="43">
        <v>0</v>
      </c>
      <c r="N750" s="1">
        <f t="shared" si="1763"/>
        <v>0</v>
      </c>
      <c r="O750" s="1">
        <f t="shared" si="1764"/>
        <v>0</v>
      </c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  <c r="AA750" s="31"/>
      <c r="AB750" s="31"/>
      <c r="AC750" s="31"/>
      <c r="AD750" s="31"/>
      <c r="AE750" s="31"/>
      <c r="AF750" s="31"/>
      <c r="AG750" s="31"/>
    </row>
    <row r="751" spans="1:33" s="32" customFormat="1" ht="15" customHeight="1">
      <c r="A751" s="37">
        <v>43984</v>
      </c>
      <c r="B751" s="57" t="s">
        <v>16</v>
      </c>
      <c r="C751" s="20" t="s">
        <v>47</v>
      </c>
      <c r="D751" s="20">
        <v>160</v>
      </c>
      <c r="E751" s="38">
        <v>2500</v>
      </c>
      <c r="F751" s="20" t="s">
        <v>8</v>
      </c>
      <c r="G751" s="43">
        <v>3.6</v>
      </c>
      <c r="H751" s="43">
        <v>4.5999999999999996</v>
      </c>
      <c r="I751" s="43">
        <v>0</v>
      </c>
      <c r="J751" s="43">
        <v>0</v>
      </c>
      <c r="K751" s="1">
        <f t="shared" ref="K751" si="1779">(IF(F751="SELL",G751-H751,IF(F751="BUY",H751-G751)))*E751</f>
        <v>2499.9999999999991</v>
      </c>
      <c r="L751" s="43">
        <v>0</v>
      </c>
      <c r="M751" s="43">
        <v>0</v>
      </c>
      <c r="N751" s="1">
        <f t="shared" si="1763"/>
        <v>0.99999999999999967</v>
      </c>
      <c r="O751" s="1">
        <f t="shared" si="1764"/>
        <v>2499.9999999999991</v>
      </c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  <c r="AA751" s="31"/>
      <c r="AB751" s="31"/>
      <c r="AC751" s="31"/>
      <c r="AD751" s="31"/>
      <c r="AE751" s="31"/>
      <c r="AF751" s="31"/>
      <c r="AG751" s="31"/>
    </row>
    <row r="752" spans="1:33" s="32" customFormat="1" ht="15" customHeight="1">
      <c r="A752" s="37">
        <v>43984</v>
      </c>
      <c r="B752" s="57" t="s">
        <v>28</v>
      </c>
      <c r="C752" s="20" t="s">
        <v>47</v>
      </c>
      <c r="D752" s="20">
        <v>670</v>
      </c>
      <c r="E752" s="38">
        <v>1875</v>
      </c>
      <c r="F752" s="20" t="s">
        <v>8</v>
      </c>
      <c r="G752" s="43">
        <v>2</v>
      </c>
      <c r="H752" s="43">
        <v>2</v>
      </c>
      <c r="I752" s="43">
        <v>0</v>
      </c>
      <c r="J752" s="43">
        <v>0</v>
      </c>
      <c r="K752" s="1">
        <f t="shared" ref="K752" si="1780">(IF(F752="SELL",G752-H752,IF(F752="BUY",H752-G752)))*E752</f>
        <v>0</v>
      </c>
      <c r="L752" s="43">
        <v>0</v>
      </c>
      <c r="M752" s="43">
        <v>0</v>
      </c>
      <c r="N752" s="1">
        <f t="shared" si="1763"/>
        <v>0</v>
      </c>
      <c r="O752" s="1">
        <f t="shared" si="1764"/>
        <v>0</v>
      </c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  <c r="AA752" s="31"/>
      <c r="AB752" s="31"/>
      <c r="AC752" s="31"/>
      <c r="AD752" s="31"/>
      <c r="AE752" s="31"/>
      <c r="AF752" s="31"/>
      <c r="AG752" s="31"/>
    </row>
    <row r="753" spans="1:33" s="32" customFormat="1" ht="15" customHeight="1">
      <c r="A753" s="37">
        <v>43983</v>
      </c>
      <c r="B753" s="57" t="s">
        <v>476</v>
      </c>
      <c r="C753" s="20" t="s">
        <v>47</v>
      </c>
      <c r="D753" s="20">
        <v>160</v>
      </c>
      <c r="E753" s="38">
        <v>6000</v>
      </c>
      <c r="F753" s="20" t="s">
        <v>8</v>
      </c>
      <c r="G753" s="43">
        <v>0.9</v>
      </c>
      <c r="H753" s="43">
        <v>1.25</v>
      </c>
      <c r="I753" s="43">
        <v>0</v>
      </c>
      <c r="J753" s="43">
        <v>0</v>
      </c>
      <c r="K753" s="1">
        <f t="shared" ref="K753" si="1781">(IF(F753="SELL",G753-H753,IF(F753="BUY",H753-G753)))*E753</f>
        <v>2100</v>
      </c>
      <c r="L753" s="43">
        <v>0</v>
      </c>
      <c r="M753" s="43">
        <v>0</v>
      </c>
      <c r="N753" s="1">
        <f t="shared" si="1763"/>
        <v>0.35</v>
      </c>
      <c r="O753" s="1">
        <f t="shared" si="1764"/>
        <v>2100</v>
      </c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  <c r="AA753" s="31"/>
      <c r="AB753" s="31"/>
      <c r="AC753" s="31"/>
      <c r="AD753" s="31"/>
      <c r="AE753" s="31"/>
      <c r="AF753" s="31"/>
      <c r="AG753" s="31"/>
    </row>
    <row r="754" spans="1:33" s="32" customFormat="1" ht="15" customHeight="1">
      <c r="A754" s="37">
        <v>43983</v>
      </c>
      <c r="B754" s="57" t="s">
        <v>20</v>
      </c>
      <c r="C754" s="20" t="s">
        <v>47</v>
      </c>
      <c r="D754" s="20">
        <v>730</v>
      </c>
      <c r="E754" s="38">
        <v>1250</v>
      </c>
      <c r="F754" s="20" t="s">
        <v>8</v>
      </c>
      <c r="G754" s="43">
        <v>10.199999999999999</v>
      </c>
      <c r="H754" s="43">
        <v>11.8</v>
      </c>
      <c r="I754" s="43">
        <v>0</v>
      </c>
      <c r="J754" s="43">
        <v>0</v>
      </c>
      <c r="K754" s="1">
        <f t="shared" ref="K754" si="1782">(IF(F754="SELL",G754-H754,IF(F754="BUY",H754-G754)))*E754</f>
        <v>2000.0000000000018</v>
      </c>
      <c r="L754" s="43">
        <v>0</v>
      </c>
      <c r="M754" s="43">
        <v>0</v>
      </c>
      <c r="N754" s="1">
        <f t="shared" si="1763"/>
        <v>1.6000000000000014</v>
      </c>
      <c r="O754" s="1">
        <f t="shared" si="1764"/>
        <v>2000.0000000000018</v>
      </c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1"/>
      <c r="AD754" s="31"/>
      <c r="AE754" s="31"/>
      <c r="AF754" s="31"/>
      <c r="AG754" s="31"/>
    </row>
    <row r="755" spans="1:33" s="32" customFormat="1" ht="15" customHeight="1">
      <c r="A755" s="37">
        <v>43980</v>
      </c>
      <c r="B755" s="57" t="s">
        <v>471</v>
      </c>
      <c r="C755" s="20" t="s">
        <v>47</v>
      </c>
      <c r="D755" s="20">
        <v>840</v>
      </c>
      <c r="E755" s="38">
        <v>1000</v>
      </c>
      <c r="F755" s="20" t="s">
        <v>8</v>
      </c>
      <c r="G755" s="43">
        <v>10.6</v>
      </c>
      <c r="H755" s="43">
        <v>7.9</v>
      </c>
      <c r="I755" s="43">
        <v>0</v>
      </c>
      <c r="J755" s="43">
        <v>0</v>
      </c>
      <c r="K755" s="1">
        <f t="shared" ref="K755" si="1783">(IF(F755="SELL",G755-H755,IF(F755="BUY",H755-G755)))*E755</f>
        <v>-2699.9999999999991</v>
      </c>
      <c r="L755" s="43">
        <v>0</v>
      </c>
      <c r="M755" s="43">
        <v>0</v>
      </c>
      <c r="N755" s="1">
        <f t="shared" si="1763"/>
        <v>-2.6999999999999993</v>
      </c>
      <c r="O755" s="1">
        <f t="shared" si="1764"/>
        <v>-2699.9999999999991</v>
      </c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1"/>
      <c r="AD755" s="31"/>
      <c r="AE755" s="31"/>
      <c r="AF755" s="31"/>
      <c r="AG755" s="31"/>
    </row>
    <row r="756" spans="1:33" s="32" customFormat="1" ht="15" customHeight="1">
      <c r="A756" s="37">
        <v>43980</v>
      </c>
      <c r="B756" s="57" t="s">
        <v>474</v>
      </c>
      <c r="C756" s="20" t="s">
        <v>47</v>
      </c>
      <c r="D756" s="20">
        <v>370</v>
      </c>
      <c r="E756" s="38">
        <v>2300</v>
      </c>
      <c r="F756" s="20" t="s">
        <v>8</v>
      </c>
      <c r="G756" s="43">
        <v>8.5</v>
      </c>
      <c r="H756" s="43">
        <v>7</v>
      </c>
      <c r="I756" s="43">
        <v>0</v>
      </c>
      <c r="J756" s="43">
        <v>0</v>
      </c>
      <c r="K756" s="1">
        <f t="shared" ref="K756" si="1784">(IF(F756="SELL",G756-H756,IF(F756="BUY",H756-G756)))*E756</f>
        <v>-3450</v>
      </c>
      <c r="L756" s="43">
        <v>0</v>
      </c>
      <c r="M756" s="43">
        <v>0</v>
      </c>
      <c r="N756" s="1">
        <f t="shared" si="1763"/>
        <v>-1.5</v>
      </c>
      <c r="O756" s="1">
        <f t="shared" si="1764"/>
        <v>-3450</v>
      </c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1"/>
      <c r="AD756" s="31"/>
      <c r="AE756" s="31"/>
      <c r="AF756" s="31"/>
      <c r="AG756" s="31"/>
    </row>
    <row r="757" spans="1:33" s="32" customFormat="1" ht="15" customHeight="1">
      <c r="A757" s="37">
        <v>43979</v>
      </c>
      <c r="B757" s="57" t="s">
        <v>128</v>
      </c>
      <c r="C757" s="20" t="s">
        <v>47</v>
      </c>
      <c r="D757" s="20">
        <v>1240</v>
      </c>
      <c r="E757" s="38">
        <v>400</v>
      </c>
      <c r="F757" s="20" t="s">
        <v>8</v>
      </c>
      <c r="G757" s="43">
        <v>7.5</v>
      </c>
      <c r="H757" s="43">
        <v>12.5</v>
      </c>
      <c r="I757" s="43">
        <v>0</v>
      </c>
      <c r="J757" s="43">
        <v>0</v>
      </c>
      <c r="K757" s="1">
        <f t="shared" ref="K757" si="1785">(IF(F757="SELL",G757-H757,IF(F757="BUY",H757-G757)))*E757</f>
        <v>2000</v>
      </c>
      <c r="L757" s="43">
        <v>0</v>
      </c>
      <c r="M757" s="43">
        <v>0</v>
      </c>
      <c r="N757" s="1">
        <f t="shared" si="1763"/>
        <v>5</v>
      </c>
      <c r="O757" s="1">
        <f t="shared" si="1764"/>
        <v>2000</v>
      </c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  <c r="AA757" s="31"/>
      <c r="AB757" s="31"/>
      <c r="AC757" s="31"/>
      <c r="AD757" s="31"/>
      <c r="AE757" s="31"/>
      <c r="AF757" s="31"/>
      <c r="AG757" s="31"/>
    </row>
    <row r="758" spans="1:33" s="32" customFormat="1" ht="15" customHeight="1">
      <c r="A758" s="37">
        <v>43979</v>
      </c>
      <c r="B758" s="57" t="s">
        <v>131</v>
      </c>
      <c r="C758" s="20" t="s">
        <v>47</v>
      </c>
      <c r="D758" s="20">
        <v>190</v>
      </c>
      <c r="E758" s="38">
        <v>2500</v>
      </c>
      <c r="F758" s="20" t="s">
        <v>8</v>
      </c>
      <c r="G758" s="43">
        <v>7.8</v>
      </c>
      <c r="H758" s="43">
        <v>8.65</v>
      </c>
      <c r="I758" s="43">
        <v>0</v>
      </c>
      <c r="J758" s="43">
        <v>0</v>
      </c>
      <c r="K758" s="1">
        <f t="shared" ref="K758" si="1786">(IF(F758="SELL",G758-H758,IF(F758="BUY",H758-G758)))*E758</f>
        <v>2125.0000000000014</v>
      </c>
      <c r="L758" s="43">
        <v>0</v>
      </c>
      <c r="M758" s="43">
        <v>0</v>
      </c>
      <c r="N758" s="1">
        <f t="shared" si="1763"/>
        <v>0.85000000000000053</v>
      </c>
      <c r="O758" s="1">
        <f t="shared" si="1764"/>
        <v>2125.0000000000014</v>
      </c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  <c r="AA758" s="31"/>
      <c r="AB758" s="31"/>
      <c r="AC758" s="31"/>
      <c r="AD758" s="31"/>
      <c r="AE758" s="31"/>
      <c r="AF758" s="31"/>
      <c r="AG758" s="31"/>
    </row>
    <row r="759" spans="1:33" s="32" customFormat="1" ht="15" customHeight="1">
      <c r="A759" s="37">
        <v>43978</v>
      </c>
      <c r="B759" s="57" t="s">
        <v>435</v>
      </c>
      <c r="C759" s="20" t="s">
        <v>47</v>
      </c>
      <c r="D759" s="20">
        <v>110</v>
      </c>
      <c r="E759" s="38">
        <v>1500</v>
      </c>
      <c r="F759" s="20" t="s">
        <v>8</v>
      </c>
      <c r="G759" s="43">
        <v>3</v>
      </c>
      <c r="H759" s="43">
        <v>4</v>
      </c>
      <c r="I759" s="43">
        <v>5</v>
      </c>
      <c r="J759" s="43">
        <v>7</v>
      </c>
      <c r="K759" s="1">
        <f t="shared" ref="K759" si="1787">(IF(F759="SELL",G759-H759,IF(F759="BUY",H759-G759)))*E759</f>
        <v>1500</v>
      </c>
      <c r="L759" s="43">
        <v>1500</v>
      </c>
      <c r="M759" s="43">
        <v>3000</v>
      </c>
      <c r="N759" s="1">
        <f t="shared" si="1763"/>
        <v>4</v>
      </c>
      <c r="O759" s="1">
        <f t="shared" si="1764"/>
        <v>6000</v>
      </c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  <c r="AA759" s="31"/>
      <c r="AB759" s="31"/>
      <c r="AC759" s="31"/>
      <c r="AD759" s="31"/>
      <c r="AE759" s="31"/>
      <c r="AF759" s="31"/>
      <c r="AG759" s="31"/>
    </row>
    <row r="760" spans="1:33" s="32" customFormat="1" ht="15" customHeight="1">
      <c r="A760" s="37">
        <v>43978</v>
      </c>
      <c r="B760" s="20" t="s">
        <v>428</v>
      </c>
      <c r="C760" s="20" t="s">
        <v>47</v>
      </c>
      <c r="D760" s="20">
        <v>340</v>
      </c>
      <c r="E760" s="38">
        <v>400</v>
      </c>
      <c r="F760" s="20" t="s">
        <v>8</v>
      </c>
      <c r="G760" s="43">
        <v>18</v>
      </c>
      <c r="H760" s="43">
        <v>22</v>
      </c>
      <c r="I760" s="43">
        <v>28</v>
      </c>
      <c r="J760" s="43">
        <v>36</v>
      </c>
      <c r="K760" s="1">
        <f t="shared" ref="K760" si="1788">(IF(F760="SELL",G760-H760,IF(F760="BUY",H760-G760)))*E760</f>
        <v>1600</v>
      </c>
      <c r="L760" s="43">
        <v>2400</v>
      </c>
      <c r="M760" s="43">
        <v>3200</v>
      </c>
      <c r="N760" s="1">
        <f t="shared" si="1763"/>
        <v>18</v>
      </c>
      <c r="O760" s="1">
        <f t="shared" si="1764"/>
        <v>7200</v>
      </c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  <c r="AA760" s="31"/>
      <c r="AB760" s="31"/>
      <c r="AC760" s="31"/>
      <c r="AD760" s="31"/>
      <c r="AE760" s="31"/>
      <c r="AF760" s="31"/>
      <c r="AG760" s="31"/>
    </row>
    <row r="761" spans="1:33" s="32" customFormat="1" ht="15" customHeight="1">
      <c r="A761" s="37">
        <v>43978</v>
      </c>
      <c r="B761" s="20" t="s">
        <v>58</v>
      </c>
      <c r="C761" s="20" t="s">
        <v>47</v>
      </c>
      <c r="D761" s="20">
        <v>460</v>
      </c>
      <c r="E761" s="38">
        <v>1000</v>
      </c>
      <c r="F761" s="20" t="s">
        <v>8</v>
      </c>
      <c r="G761" s="43">
        <v>3.5</v>
      </c>
      <c r="H761" s="43">
        <v>5.5</v>
      </c>
      <c r="I761" s="43">
        <v>7.5</v>
      </c>
      <c r="J761" s="43">
        <v>0</v>
      </c>
      <c r="K761" s="1">
        <f t="shared" ref="K761" si="1789">(IF(F761="SELL",G761-H761,IF(F761="BUY",H761-G761)))*E761</f>
        <v>2000</v>
      </c>
      <c r="L761" s="43">
        <v>2000</v>
      </c>
      <c r="M761" s="43">
        <v>0</v>
      </c>
      <c r="N761" s="1">
        <f t="shared" si="1763"/>
        <v>4</v>
      </c>
      <c r="O761" s="1">
        <f t="shared" si="1764"/>
        <v>4000</v>
      </c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  <c r="AA761" s="31"/>
      <c r="AB761" s="31"/>
      <c r="AC761" s="31"/>
      <c r="AD761" s="31"/>
      <c r="AE761" s="31"/>
      <c r="AF761" s="31"/>
      <c r="AG761" s="31"/>
    </row>
    <row r="762" spans="1:33" s="32" customFormat="1" ht="15" customHeight="1">
      <c r="A762" s="37">
        <v>43977</v>
      </c>
      <c r="B762" s="20" t="s">
        <v>98</v>
      </c>
      <c r="C762" s="20" t="s">
        <v>47</v>
      </c>
      <c r="D762" s="20">
        <v>360</v>
      </c>
      <c r="E762" s="38">
        <v>2300</v>
      </c>
      <c r="F762" s="20" t="s">
        <v>8</v>
      </c>
      <c r="G762" s="43">
        <v>4.8</v>
      </c>
      <c r="H762" s="43">
        <v>3.4</v>
      </c>
      <c r="I762" s="43">
        <v>0</v>
      </c>
      <c r="J762" s="43">
        <v>0</v>
      </c>
      <c r="K762" s="1">
        <f t="shared" ref="K762" si="1790">(IF(F762="SELL",G762-H762,IF(F762="BUY",H762-G762)))*E762</f>
        <v>-3220</v>
      </c>
      <c r="L762" s="43">
        <v>0</v>
      </c>
      <c r="M762" s="43">
        <v>0</v>
      </c>
      <c r="N762" s="1">
        <f t="shared" si="1763"/>
        <v>-1.4</v>
      </c>
      <c r="O762" s="1">
        <f t="shared" si="1764"/>
        <v>-3220</v>
      </c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  <c r="AA762" s="31"/>
      <c r="AB762" s="31"/>
      <c r="AC762" s="31"/>
      <c r="AD762" s="31"/>
      <c r="AE762" s="31"/>
      <c r="AF762" s="31"/>
      <c r="AG762" s="31"/>
    </row>
    <row r="763" spans="1:33" s="32" customFormat="1" ht="15" customHeight="1">
      <c r="A763" s="37">
        <v>43977</v>
      </c>
      <c r="B763" s="20" t="s">
        <v>193</v>
      </c>
      <c r="C763" s="20" t="s">
        <v>47</v>
      </c>
      <c r="D763" s="20">
        <v>460</v>
      </c>
      <c r="E763" s="38">
        <v>1375</v>
      </c>
      <c r="F763" s="20" t="s">
        <v>8</v>
      </c>
      <c r="G763" s="43">
        <v>6.5</v>
      </c>
      <c r="H763" s="43">
        <v>8.5</v>
      </c>
      <c r="I763" s="43">
        <v>10.5</v>
      </c>
      <c r="J763" s="43">
        <v>13.5</v>
      </c>
      <c r="K763" s="1">
        <f t="shared" ref="K763" si="1791">(IF(F763="SELL",G763-H763,IF(F763="BUY",H763-G763)))*E763</f>
        <v>2750</v>
      </c>
      <c r="L763" s="43">
        <f>E763*2</f>
        <v>2750</v>
      </c>
      <c r="M763" s="43">
        <f>E763*3</f>
        <v>4125</v>
      </c>
      <c r="N763" s="1">
        <f t="shared" si="1763"/>
        <v>7</v>
      </c>
      <c r="O763" s="1">
        <f t="shared" si="1764"/>
        <v>9625</v>
      </c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  <c r="AA763" s="31"/>
      <c r="AB763" s="31"/>
      <c r="AC763" s="31"/>
      <c r="AD763" s="31"/>
      <c r="AE763" s="31"/>
      <c r="AF763" s="31"/>
      <c r="AG763" s="31"/>
    </row>
    <row r="764" spans="1:33" s="32" customFormat="1" ht="15" customHeight="1">
      <c r="A764" s="37">
        <v>43973</v>
      </c>
      <c r="B764" s="20" t="s">
        <v>444</v>
      </c>
      <c r="C764" s="20" t="s">
        <v>47</v>
      </c>
      <c r="D764" s="20">
        <v>120</v>
      </c>
      <c r="E764" s="38">
        <v>1600</v>
      </c>
      <c r="F764" s="20" t="s">
        <v>8</v>
      </c>
      <c r="G764" s="43">
        <v>2.2000000000000002</v>
      </c>
      <c r="H764" s="43">
        <v>3.5</v>
      </c>
      <c r="I764" s="43">
        <v>0</v>
      </c>
      <c r="J764" s="43">
        <v>0</v>
      </c>
      <c r="K764" s="1">
        <f t="shared" ref="K764" si="1792">(IF(F764="SELL",G764-H764,IF(F764="BUY",H764-G764)))*E764</f>
        <v>2079.9999999999995</v>
      </c>
      <c r="L764" s="43">
        <v>0</v>
      </c>
      <c r="M764" s="43">
        <v>0</v>
      </c>
      <c r="N764" s="1">
        <f t="shared" si="1763"/>
        <v>1.2999999999999998</v>
      </c>
      <c r="O764" s="1">
        <f t="shared" si="1764"/>
        <v>2079.9999999999995</v>
      </c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1"/>
      <c r="AD764" s="31"/>
      <c r="AE764" s="31"/>
      <c r="AF764" s="31"/>
      <c r="AG764" s="31"/>
    </row>
    <row r="765" spans="1:33" s="32" customFormat="1" ht="15" customHeight="1">
      <c r="A765" s="37">
        <v>43973</v>
      </c>
      <c r="B765" s="20" t="s">
        <v>21</v>
      </c>
      <c r="C765" s="20" t="s">
        <v>46</v>
      </c>
      <c r="D765" s="20">
        <v>150</v>
      </c>
      <c r="E765" s="38">
        <v>3000</v>
      </c>
      <c r="F765" s="20" t="s">
        <v>8</v>
      </c>
      <c r="G765" s="43">
        <v>4.5</v>
      </c>
      <c r="H765" s="43">
        <v>5.4</v>
      </c>
      <c r="I765" s="43">
        <v>0</v>
      </c>
      <c r="J765" s="43">
        <v>0</v>
      </c>
      <c r="K765" s="1">
        <f t="shared" ref="K765" si="1793">(IF(F765="SELL",G765-H765,IF(F765="BUY",H765-G765)))*E765</f>
        <v>2700.0000000000009</v>
      </c>
      <c r="L765" s="43">
        <v>0</v>
      </c>
      <c r="M765" s="43">
        <v>0</v>
      </c>
      <c r="N765" s="1">
        <f t="shared" si="1763"/>
        <v>0.90000000000000036</v>
      </c>
      <c r="O765" s="1">
        <f t="shared" si="1764"/>
        <v>2700.0000000000009</v>
      </c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1"/>
      <c r="AD765" s="31"/>
      <c r="AE765" s="31"/>
      <c r="AF765" s="31"/>
      <c r="AG765" s="31"/>
    </row>
    <row r="766" spans="1:33" s="32" customFormat="1" ht="15" customHeight="1">
      <c r="A766" s="37">
        <v>43972</v>
      </c>
      <c r="B766" s="20" t="s">
        <v>193</v>
      </c>
      <c r="C766" s="20" t="s">
        <v>47</v>
      </c>
      <c r="D766" s="20">
        <v>480</v>
      </c>
      <c r="E766" s="38">
        <v>1375</v>
      </c>
      <c r="F766" s="20" t="s">
        <v>8</v>
      </c>
      <c r="G766" s="43">
        <v>6</v>
      </c>
      <c r="H766" s="43">
        <v>4</v>
      </c>
      <c r="I766" s="43">
        <v>0</v>
      </c>
      <c r="J766" s="43">
        <v>0</v>
      </c>
      <c r="K766" s="1">
        <f t="shared" ref="K766" si="1794">(IF(F766="SELL",G766-H766,IF(F766="BUY",H766-G766)))*E766</f>
        <v>-2750</v>
      </c>
      <c r="L766" s="43">
        <v>0</v>
      </c>
      <c r="M766" s="43">
        <v>0</v>
      </c>
      <c r="N766" s="1">
        <f t="shared" si="1763"/>
        <v>-2</v>
      </c>
      <c r="O766" s="1">
        <f t="shared" si="1764"/>
        <v>-2750</v>
      </c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1"/>
      <c r="AD766" s="31"/>
      <c r="AE766" s="31"/>
      <c r="AF766" s="31"/>
      <c r="AG766" s="31"/>
    </row>
    <row r="767" spans="1:33" s="32" customFormat="1" ht="15" customHeight="1">
      <c r="A767" s="37">
        <v>43972</v>
      </c>
      <c r="B767" s="20" t="s">
        <v>28</v>
      </c>
      <c r="C767" s="20" t="s">
        <v>47</v>
      </c>
      <c r="D767" s="20">
        <v>640</v>
      </c>
      <c r="E767" s="38">
        <v>1851</v>
      </c>
      <c r="F767" s="20" t="s">
        <v>8</v>
      </c>
      <c r="G767" s="43">
        <v>2.5</v>
      </c>
      <c r="H767" s="43">
        <v>1.2</v>
      </c>
      <c r="I767" s="43">
        <v>0</v>
      </c>
      <c r="J767" s="43">
        <v>0</v>
      </c>
      <c r="K767" s="1">
        <f t="shared" ref="K767" si="1795">(IF(F767="SELL",G767-H767,IF(F767="BUY",H767-G767)))*E767</f>
        <v>-2406.3000000000002</v>
      </c>
      <c r="L767" s="43">
        <v>0</v>
      </c>
      <c r="M767" s="43">
        <v>0</v>
      </c>
      <c r="N767" s="1">
        <f t="shared" si="1763"/>
        <v>-1.3</v>
      </c>
      <c r="O767" s="1">
        <f t="shared" si="1764"/>
        <v>-2406.3000000000002</v>
      </c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  <c r="AA767" s="31"/>
      <c r="AB767" s="31"/>
      <c r="AC767" s="31"/>
      <c r="AD767" s="31"/>
      <c r="AE767" s="31"/>
      <c r="AF767" s="31"/>
      <c r="AG767" s="31"/>
    </row>
    <row r="768" spans="1:33" s="32" customFormat="1" ht="15" customHeight="1">
      <c r="A768" s="37">
        <v>43971</v>
      </c>
      <c r="B768" s="20" t="s">
        <v>98</v>
      </c>
      <c r="C768" s="20" t="s">
        <v>47</v>
      </c>
      <c r="D768" s="20">
        <v>350</v>
      </c>
      <c r="E768" s="38">
        <v>2300</v>
      </c>
      <c r="F768" s="20" t="s">
        <v>8</v>
      </c>
      <c r="G768" s="43">
        <v>6.4</v>
      </c>
      <c r="H768" s="43">
        <v>7.2</v>
      </c>
      <c r="I768" s="43">
        <v>8.1999999999999993</v>
      </c>
      <c r="J768" s="43">
        <v>0</v>
      </c>
      <c r="K768" s="1">
        <f t="shared" ref="K768" si="1796">(IF(F768="SELL",G768-H768,IF(F768="BUY",H768-G768)))*E768</f>
        <v>1839.9999999999995</v>
      </c>
      <c r="L768" s="43">
        <v>2300</v>
      </c>
      <c r="M768" s="43">
        <v>0</v>
      </c>
      <c r="N768" s="1">
        <f t="shared" si="1763"/>
        <v>1.8</v>
      </c>
      <c r="O768" s="1">
        <f t="shared" si="1764"/>
        <v>4140</v>
      </c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  <c r="AA768" s="31"/>
      <c r="AB768" s="31"/>
      <c r="AC768" s="31"/>
      <c r="AD768" s="31"/>
      <c r="AE768" s="31"/>
      <c r="AF768" s="31"/>
      <c r="AG768" s="31"/>
    </row>
    <row r="769" spans="1:33" s="32" customFormat="1" ht="15" customHeight="1">
      <c r="A769" s="37">
        <v>43971</v>
      </c>
      <c r="B769" s="20" t="s">
        <v>106</v>
      </c>
      <c r="C769" s="20" t="s">
        <v>47</v>
      </c>
      <c r="D769" s="20">
        <v>4000</v>
      </c>
      <c r="E769" s="38">
        <v>250</v>
      </c>
      <c r="F769" s="20" t="s">
        <v>8</v>
      </c>
      <c r="G769" s="43">
        <v>45</v>
      </c>
      <c r="H769" s="43">
        <v>53</v>
      </c>
      <c r="I769" s="43">
        <v>63</v>
      </c>
      <c r="J769" s="43">
        <v>76</v>
      </c>
      <c r="K769" s="1">
        <f t="shared" ref="K769" si="1797">(IF(F769="SELL",G769-H769,IF(F769="BUY",H769-G769)))*E769</f>
        <v>2000</v>
      </c>
      <c r="L769" s="43">
        <f>E769*10</f>
        <v>2500</v>
      </c>
      <c r="M769" s="43">
        <f>E769*13</f>
        <v>3250</v>
      </c>
      <c r="N769" s="1">
        <f t="shared" si="1763"/>
        <v>31</v>
      </c>
      <c r="O769" s="1">
        <f t="shared" si="1764"/>
        <v>7750</v>
      </c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  <c r="AA769" s="31"/>
      <c r="AB769" s="31"/>
      <c r="AC769" s="31"/>
      <c r="AD769" s="31"/>
      <c r="AE769" s="31"/>
      <c r="AF769" s="31"/>
      <c r="AG769" s="31"/>
    </row>
    <row r="770" spans="1:33" s="32" customFormat="1" ht="15" customHeight="1">
      <c r="A770" s="37">
        <v>43970</v>
      </c>
      <c r="B770" s="20" t="s">
        <v>453</v>
      </c>
      <c r="C770" s="20" t="s">
        <v>47</v>
      </c>
      <c r="D770" s="20">
        <v>880</v>
      </c>
      <c r="E770" s="38">
        <v>1100</v>
      </c>
      <c r="F770" s="20" t="s">
        <v>8</v>
      </c>
      <c r="G770" s="43">
        <v>16</v>
      </c>
      <c r="H770" s="43">
        <v>18.25</v>
      </c>
      <c r="I770" s="43">
        <v>0</v>
      </c>
      <c r="J770" s="43">
        <v>0</v>
      </c>
      <c r="K770" s="1">
        <f t="shared" ref="K770" si="1798">(IF(F770="SELL",G770-H770,IF(F770="BUY",H770-G770)))*E770</f>
        <v>2475</v>
      </c>
      <c r="L770" s="43">
        <v>0</v>
      </c>
      <c r="M770" s="43">
        <v>0</v>
      </c>
      <c r="N770" s="1">
        <f t="shared" si="1763"/>
        <v>2.25</v>
      </c>
      <c r="O770" s="1">
        <f t="shared" si="1764"/>
        <v>2475</v>
      </c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  <c r="AA770" s="31"/>
      <c r="AB770" s="31"/>
      <c r="AC770" s="31"/>
      <c r="AD770" s="31"/>
      <c r="AE770" s="31"/>
      <c r="AF770" s="31"/>
      <c r="AG770" s="31"/>
    </row>
    <row r="771" spans="1:33" s="32" customFormat="1" ht="15" customHeight="1">
      <c r="A771" s="37">
        <v>43970</v>
      </c>
      <c r="B771" s="20" t="s">
        <v>37</v>
      </c>
      <c r="C771" s="20" t="s">
        <v>47</v>
      </c>
      <c r="D771" s="20">
        <v>2000</v>
      </c>
      <c r="E771" s="38">
        <v>250</v>
      </c>
      <c r="F771" s="20" t="s">
        <v>8</v>
      </c>
      <c r="G771" s="43">
        <v>30</v>
      </c>
      <c r="H771" s="43">
        <v>35.15</v>
      </c>
      <c r="I771" s="43">
        <v>0</v>
      </c>
      <c r="J771" s="43">
        <v>0</v>
      </c>
      <c r="K771" s="1">
        <f t="shared" ref="K771" si="1799">(IF(F771="SELL",G771-H771,IF(F771="BUY",H771-G771)))*E771</f>
        <v>1287.4999999999995</v>
      </c>
      <c r="L771" s="43">
        <v>0</v>
      </c>
      <c r="M771" s="43">
        <v>0</v>
      </c>
      <c r="N771" s="1">
        <f t="shared" si="1763"/>
        <v>5.1499999999999986</v>
      </c>
      <c r="O771" s="1">
        <f t="shared" si="1764"/>
        <v>1287.4999999999995</v>
      </c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  <c r="AA771" s="31"/>
      <c r="AB771" s="31"/>
      <c r="AC771" s="31"/>
      <c r="AD771" s="31"/>
      <c r="AE771" s="31"/>
      <c r="AF771" s="31"/>
      <c r="AG771" s="31"/>
    </row>
    <row r="772" spans="1:33" s="32" customFormat="1" ht="15" customHeight="1">
      <c r="A772" s="37">
        <v>43969</v>
      </c>
      <c r="B772" s="20" t="s">
        <v>21</v>
      </c>
      <c r="C772" s="20" t="s">
        <v>46</v>
      </c>
      <c r="D772" s="20">
        <v>140</v>
      </c>
      <c r="E772" s="38">
        <v>3000</v>
      </c>
      <c r="F772" s="20" t="s">
        <v>8</v>
      </c>
      <c r="G772" s="43">
        <v>1.7</v>
      </c>
      <c r="H772" s="43">
        <v>2.5</v>
      </c>
      <c r="I772" s="43">
        <v>0</v>
      </c>
      <c r="J772" s="43">
        <v>0</v>
      </c>
      <c r="K772" s="1">
        <f t="shared" ref="K772" si="1800">(IF(F772="SELL",G772-H772,IF(F772="BUY",H772-G772)))*E772</f>
        <v>2400</v>
      </c>
      <c r="L772" s="43">
        <v>0</v>
      </c>
      <c r="M772" s="43">
        <v>0</v>
      </c>
      <c r="N772" s="1">
        <f t="shared" si="1763"/>
        <v>0.8</v>
      </c>
      <c r="O772" s="1">
        <f t="shared" si="1764"/>
        <v>2400</v>
      </c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  <c r="AA772" s="31"/>
      <c r="AB772" s="31"/>
      <c r="AC772" s="31"/>
      <c r="AD772" s="31"/>
      <c r="AE772" s="31"/>
      <c r="AF772" s="31"/>
      <c r="AG772" s="31"/>
    </row>
    <row r="773" spans="1:33" s="32" customFormat="1" ht="15" customHeight="1">
      <c r="A773" s="37">
        <v>43969</v>
      </c>
      <c r="B773" s="20" t="s">
        <v>18</v>
      </c>
      <c r="C773" s="20" t="s">
        <v>47</v>
      </c>
      <c r="D773" s="20">
        <v>620</v>
      </c>
      <c r="E773" s="38">
        <v>1150</v>
      </c>
      <c r="F773" s="20" t="s">
        <v>8</v>
      </c>
      <c r="G773" s="43">
        <v>12</v>
      </c>
      <c r="H773" s="43">
        <v>14.5</v>
      </c>
      <c r="I773" s="43">
        <v>0</v>
      </c>
      <c r="J773" s="43">
        <v>0</v>
      </c>
      <c r="K773" s="1">
        <f t="shared" ref="K773" si="1801">(IF(F773="SELL",G773-H773,IF(F773="BUY",H773-G773)))*E773</f>
        <v>2875</v>
      </c>
      <c r="L773" s="43">
        <v>0</v>
      </c>
      <c r="M773" s="43">
        <v>0</v>
      </c>
      <c r="N773" s="1">
        <f t="shared" si="1763"/>
        <v>2.5</v>
      </c>
      <c r="O773" s="1">
        <f t="shared" si="1764"/>
        <v>2875</v>
      </c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  <c r="AA773" s="31"/>
      <c r="AB773" s="31"/>
      <c r="AC773" s="31"/>
      <c r="AD773" s="31"/>
      <c r="AE773" s="31"/>
      <c r="AF773" s="31"/>
      <c r="AG773" s="31"/>
    </row>
    <row r="774" spans="1:33" s="32" customFormat="1" ht="15" customHeight="1">
      <c r="A774" s="37">
        <v>43966</v>
      </c>
      <c r="B774" s="20" t="s">
        <v>75</v>
      </c>
      <c r="C774" s="20" t="s">
        <v>47</v>
      </c>
      <c r="D774" s="20">
        <v>1400</v>
      </c>
      <c r="E774" s="38">
        <v>500</v>
      </c>
      <c r="F774" s="20" t="s">
        <v>8</v>
      </c>
      <c r="G774" s="43">
        <v>37</v>
      </c>
      <c r="H774" s="43">
        <v>41</v>
      </c>
      <c r="I774" s="43">
        <v>45</v>
      </c>
      <c r="J774" s="43">
        <v>52</v>
      </c>
      <c r="K774" s="1">
        <f t="shared" ref="K774" si="1802">(IF(F774="SELL",G774-H774,IF(F774="BUY",H774-G774)))*E774</f>
        <v>2000</v>
      </c>
      <c r="L774" s="43">
        <f>E774*4</f>
        <v>2000</v>
      </c>
      <c r="M774" s="43">
        <f>E774*7</f>
        <v>3500</v>
      </c>
      <c r="N774" s="1">
        <f t="shared" si="1763"/>
        <v>15</v>
      </c>
      <c r="O774" s="1">
        <f t="shared" si="1764"/>
        <v>7500</v>
      </c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1"/>
      <c r="AD774" s="31"/>
      <c r="AE774" s="31"/>
      <c r="AF774" s="31"/>
      <c r="AG774" s="31"/>
    </row>
    <row r="775" spans="1:33" s="32" customFormat="1" ht="15" customHeight="1">
      <c r="A775" s="37">
        <v>43966</v>
      </c>
      <c r="B775" s="20" t="s">
        <v>18</v>
      </c>
      <c r="C775" s="20" t="s">
        <v>47</v>
      </c>
      <c r="D775" s="20">
        <v>630</v>
      </c>
      <c r="E775" s="38">
        <v>1150</v>
      </c>
      <c r="F775" s="20" t="s">
        <v>8</v>
      </c>
      <c r="G775" s="43">
        <v>11.7</v>
      </c>
      <c r="H775" s="43">
        <v>9</v>
      </c>
      <c r="I775" s="43">
        <v>0</v>
      </c>
      <c r="J775" s="43">
        <v>0</v>
      </c>
      <c r="K775" s="1">
        <f t="shared" ref="K775" si="1803">(IF(F775="SELL",G775-H775,IF(F775="BUY",H775-G775)))*E775</f>
        <v>-3104.9999999999991</v>
      </c>
      <c r="L775" s="43">
        <v>0</v>
      </c>
      <c r="M775" s="43">
        <v>0</v>
      </c>
      <c r="N775" s="1">
        <f t="shared" si="1763"/>
        <v>-2.6999999999999993</v>
      </c>
      <c r="O775" s="1">
        <f t="shared" si="1764"/>
        <v>-3104.9999999999991</v>
      </c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1"/>
      <c r="AD775" s="31"/>
      <c r="AE775" s="31"/>
      <c r="AF775" s="31"/>
      <c r="AG775" s="31"/>
    </row>
    <row r="776" spans="1:33" s="32" customFormat="1" ht="15" customHeight="1">
      <c r="A776" s="37">
        <v>43966</v>
      </c>
      <c r="B776" s="20" t="s">
        <v>28</v>
      </c>
      <c r="C776" s="20" t="s">
        <v>47</v>
      </c>
      <c r="D776" s="20">
        <v>560</v>
      </c>
      <c r="E776" s="38">
        <v>1851</v>
      </c>
      <c r="F776" s="20" t="s">
        <v>8</v>
      </c>
      <c r="G776" s="43">
        <v>7.4</v>
      </c>
      <c r="H776" s="43">
        <v>8.5</v>
      </c>
      <c r="I776" s="43">
        <v>0</v>
      </c>
      <c r="J776" s="43">
        <v>0</v>
      </c>
      <c r="K776" s="1">
        <f t="shared" ref="K776" si="1804">(IF(F776="SELL",G776-H776,IF(F776="BUY",H776-G776)))*E776</f>
        <v>2036.0999999999995</v>
      </c>
      <c r="L776" s="43">
        <v>0</v>
      </c>
      <c r="M776" s="43">
        <v>0</v>
      </c>
      <c r="N776" s="1">
        <f t="shared" si="1763"/>
        <v>1.0999999999999996</v>
      </c>
      <c r="O776" s="1">
        <f t="shared" si="1764"/>
        <v>2036.0999999999995</v>
      </c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1"/>
      <c r="AD776" s="31"/>
      <c r="AE776" s="31"/>
      <c r="AF776" s="31"/>
      <c r="AG776" s="31"/>
    </row>
    <row r="777" spans="1:33" s="32" customFormat="1" ht="15" customHeight="1">
      <c r="A777" s="37">
        <v>43965</v>
      </c>
      <c r="B777" s="20" t="s">
        <v>417</v>
      </c>
      <c r="C777" s="20" t="s">
        <v>47</v>
      </c>
      <c r="D777" s="20">
        <v>380</v>
      </c>
      <c r="E777" s="38">
        <v>1400</v>
      </c>
      <c r="F777" s="20" t="s">
        <v>8</v>
      </c>
      <c r="G777" s="43">
        <v>11</v>
      </c>
      <c r="H777" s="43">
        <v>13</v>
      </c>
      <c r="I777" s="43">
        <v>0</v>
      </c>
      <c r="J777" s="43">
        <v>0</v>
      </c>
      <c r="K777" s="1">
        <f t="shared" ref="K777" si="1805">(IF(F777="SELL",G777-H777,IF(F777="BUY",H777-G777)))*E777</f>
        <v>2800</v>
      </c>
      <c r="L777" s="43">
        <v>0</v>
      </c>
      <c r="M777" s="43">
        <v>0</v>
      </c>
      <c r="N777" s="1">
        <f t="shared" si="1763"/>
        <v>2</v>
      </c>
      <c r="O777" s="1">
        <f t="shared" si="1764"/>
        <v>2800</v>
      </c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  <c r="AA777" s="31"/>
      <c r="AB777" s="31"/>
      <c r="AC777" s="31"/>
      <c r="AD777" s="31"/>
      <c r="AE777" s="31"/>
      <c r="AF777" s="31"/>
      <c r="AG777" s="31"/>
    </row>
    <row r="778" spans="1:33" s="32" customFormat="1" ht="15" customHeight="1">
      <c r="A778" s="37">
        <v>43965</v>
      </c>
      <c r="B778" s="20" t="s">
        <v>420</v>
      </c>
      <c r="C778" s="20" t="s">
        <v>46</v>
      </c>
      <c r="D778" s="20">
        <v>1500</v>
      </c>
      <c r="E778" s="38">
        <v>300</v>
      </c>
      <c r="F778" s="20" t="s">
        <v>8</v>
      </c>
      <c r="G778" s="43">
        <v>41</v>
      </c>
      <c r="H778" s="43">
        <v>47</v>
      </c>
      <c r="I778" s="43">
        <v>0</v>
      </c>
      <c r="J778" s="43">
        <v>0</v>
      </c>
      <c r="K778" s="1">
        <f t="shared" ref="K778" si="1806">(IF(F778="SELL",G778-H778,IF(F778="BUY",H778-G778)))*E778</f>
        <v>1800</v>
      </c>
      <c r="L778" s="43">
        <v>0</v>
      </c>
      <c r="M778" s="43">
        <v>0</v>
      </c>
      <c r="N778" s="1">
        <f t="shared" si="1763"/>
        <v>6</v>
      </c>
      <c r="O778" s="1">
        <f t="shared" si="1764"/>
        <v>1800</v>
      </c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  <c r="AA778" s="31"/>
      <c r="AB778" s="31"/>
      <c r="AC778" s="31"/>
      <c r="AD778" s="31"/>
      <c r="AE778" s="31"/>
      <c r="AF778" s="31"/>
      <c r="AG778" s="31"/>
    </row>
    <row r="779" spans="1:33" s="32" customFormat="1" ht="15" customHeight="1">
      <c r="A779" s="37">
        <v>43964</v>
      </c>
      <c r="B779" s="20" t="s">
        <v>20</v>
      </c>
      <c r="C779" s="20" t="s">
        <v>47</v>
      </c>
      <c r="D779" s="20">
        <v>710</v>
      </c>
      <c r="E779" s="38">
        <v>1200</v>
      </c>
      <c r="F779" s="20" t="s">
        <v>8</v>
      </c>
      <c r="G779" s="43">
        <v>15.5</v>
      </c>
      <c r="H779" s="43">
        <v>17.5</v>
      </c>
      <c r="I779" s="43">
        <v>0</v>
      </c>
      <c r="J779" s="43">
        <v>0</v>
      </c>
      <c r="K779" s="1">
        <f t="shared" ref="K779" si="1807">(IF(F779="SELL",G779-H779,IF(F779="BUY",H779-G779)))*E779</f>
        <v>2400</v>
      </c>
      <c r="L779" s="43">
        <v>0</v>
      </c>
      <c r="M779" s="43">
        <v>0</v>
      </c>
      <c r="N779" s="1">
        <f t="shared" si="1763"/>
        <v>2</v>
      </c>
      <c r="O779" s="1">
        <f t="shared" si="1764"/>
        <v>2400</v>
      </c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  <c r="AA779" s="31"/>
      <c r="AB779" s="31"/>
      <c r="AC779" s="31"/>
      <c r="AD779" s="31"/>
      <c r="AE779" s="31"/>
      <c r="AF779" s="31"/>
      <c r="AG779" s="31"/>
    </row>
    <row r="780" spans="1:33" s="32" customFormat="1" ht="15" customHeight="1">
      <c r="A780" s="37">
        <v>43964</v>
      </c>
      <c r="B780" s="20" t="s">
        <v>38</v>
      </c>
      <c r="C780" s="20" t="s">
        <v>46</v>
      </c>
      <c r="D780" s="20">
        <v>4700</v>
      </c>
      <c r="E780" s="38">
        <v>100</v>
      </c>
      <c r="F780" s="20" t="s">
        <v>8</v>
      </c>
      <c r="G780" s="43">
        <v>100</v>
      </c>
      <c r="H780" s="43">
        <v>120</v>
      </c>
      <c r="I780" s="43">
        <v>140</v>
      </c>
      <c r="J780" s="43">
        <v>0</v>
      </c>
      <c r="K780" s="1">
        <f t="shared" ref="K780" si="1808">(IF(F780="SELL",G780-H780,IF(F780="BUY",H780-G780)))*E780</f>
        <v>2000</v>
      </c>
      <c r="L780" s="43">
        <v>2000</v>
      </c>
      <c r="M780" s="43">
        <v>0</v>
      </c>
      <c r="N780" s="1">
        <f t="shared" si="1763"/>
        <v>40</v>
      </c>
      <c r="O780" s="1">
        <f t="shared" si="1764"/>
        <v>4000</v>
      </c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  <c r="AA780" s="31"/>
      <c r="AB780" s="31"/>
      <c r="AC780" s="31"/>
      <c r="AD780" s="31"/>
      <c r="AE780" s="31"/>
      <c r="AF780" s="31"/>
      <c r="AG780" s="31"/>
    </row>
    <row r="781" spans="1:33" s="32" customFormat="1" ht="15" customHeight="1">
      <c r="A781" s="37">
        <v>43963</v>
      </c>
      <c r="B781" s="20" t="s">
        <v>38</v>
      </c>
      <c r="C781" s="20" t="s">
        <v>46</v>
      </c>
      <c r="D781" s="20">
        <v>4300</v>
      </c>
      <c r="E781" s="38">
        <v>100</v>
      </c>
      <c r="F781" s="20" t="s">
        <v>8</v>
      </c>
      <c r="G781" s="43">
        <v>105</v>
      </c>
      <c r="H781" s="43">
        <v>90</v>
      </c>
      <c r="I781" s="43">
        <v>0</v>
      </c>
      <c r="J781" s="43">
        <v>0</v>
      </c>
      <c r="K781" s="1">
        <f>E781*-15</f>
        <v>-1500</v>
      </c>
      <c r="L781" s="43">
        <v>0</v>
      </c>
      <c r="M781" s="43">
        <v>0</v>
      </c>
      <c r="N781" s="1">
        <f t="shared" si="1763"/>
        <v>-15</v>
      </c>
      <c r="O781" s="1">
        <f t="shared" si="1764"/>
        <v>-1500</v>
      </c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  <c r="AA781" s="31"/>
      <c r="AB781" s="31"/>
      <c r="AC781" s="31"/>
      <c r="AD781" s="31"/>
      <c r="AE781" s="31"/>
      <c r="AF781" s="31"/>
      <c r="AG781" s="31"/>
    </row>
    <row r="782" spans="1:33" s="32" customFormat="1" ht="15" customHeight="1">
      <c r="A782" s="37">
        <v>43963</v>
      </c>
      <c r="B782" s="20" t="s">
        <v>490</v>
      </c>
      <c r="C782" s="20" t="s">
        <v>47</v>
      </c>
      <c r="D782" s="20">
        <v>1100</v>
      </c>
      <c r="E782" s="38">
        <v>300</v>
      </c>
      <c r="F782" s="20" t="s">
        <v>8</v>
      </c>
      <c r="G782" s="43">
        <v>33</v>
      </c>
      <c r="H782" s="43">
        <v>36</v>
      </c>
      <c r="I782" s="43">
        <v>0</v>
      </c>
      <c r="J782" s="43">
        <v>0</v>
      </c>
      <c r="K782" s="1">
        <f t="shared" ref="K782" si="1809">(IF(F782="SELL",G782-H782,IF(F782="BUY",H782-G782)))*E782</f>
        <v>900</v>
      </c>
      <c r="L782" s="43">
        <v>0</v>
      </c>
      <c r="M782" s="43">
        <v>0</v>
      </c>
      <c r="N782" s="1">
        <f t="shared" si="1763"/>
        <v>3</v>
      </c>
      <c r="O782" s="1">
        <f t="shared" si="1764"/>
        <v>900</v>
      </c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  <c r="AA782" s="31"/>
      <c r="AB782" s="31"/>
      <c r="AC782" s="31"/>
      <c r="AD782" s="31"/>
      <c r="AE782" s="31"/>
      <c r="AF782" s="31"/>
      <c r="AG782" s="31"/>
    </row>
    <row r="783" spans="1:33" s="32" customFormat="1" ht="15" customHeight="1">
      <c r="A783" s="37">
        <v>43963</v>
      </c>
      <c r="B783" s="20" t="s">
        <v>37</v>
      </c>
      <c r="C783" s="20" t="s">
        <v>47</v>
      </c>
      <c r="D783" s="20">
        <v>2000</v>
      </c>
      <c r="E783" s="38">
        <v>250</v>
      </c>
      <c r="F783" s="20" t="s">
        <v>8</v>
      </c>
      <c r="G783" s="43">
        <v>45</v>
      </c>
      <c r="H783" s="43">
        <v>45.35</v>
      </c>
      <c r="I783" s="43">
        <v>0</v>
      </c>
      <c r="J783" s="43">
        <v>0</v>
      </c>
      <c r="K783" s="1">
        <f t="shared" ref="K783" si="1810">(IF(F783="SELL",G783-H783,IF(F783="BUY",H783-G783)))*E783</f>
        <v>87.500000000000355</v>
      </c>
      <c r="L783" s="43">
        <v>0</v>
      </c>
      <c r="M783" s="43">
        <v>0</v>
      </c>
      <c r="N783" s="1">
        <f t="shared" si="1763"/>
        <v>0.35000000000000142</v>
      </c>
      <c r="O783" s="1">
        <f t="shared" si="1764"/>
        <v>87.500000000000355</v>
      </c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  <c r="AA783" s="31"/>
      <c r="AB783" s="31"/>
      <c r="AC783" s="31"/>
      <c r="AD783" s="31"/>
      <c r="AE783" s="31"/>
      <c r="AF783" s="31"/>
      <c r="AG783" s="31"/>
    </row>
    <row r="784" spans="1:33" s="32" customFormat="1" ht="15" customHeight="1">
      <c r="A784" s="37">
        <v>43963</v>
      </c>
      <c r="B784" s="20" t="s">
        <v>28</v>
      </c>
      <c r="C784" s="20" t="s">
        <v>47</v>
      </c>
      <c r="D784" s="20">
        <v>600</v>
      </c>
      <c r="E784" s="38">
        <v>1851</v>
      </c>
      <c r="F784" s="20" t="s">
        <v>8</v>
      </c>
      <c r="G784" s="43">
        <v>8.8000000000000007</v>
      </c>
      <c r="H784" s="43">
        <v>10.8</v>
      </c>
      <c r="I784" s="43">
        <v>0</v>
      </c>
      <c r="J784" s="43">
        <v>0</v>
      </c>
      <c r="K784" s="1">
        <f t="shared" ref="K784" si="1811">(IF(F784="SELL",G784-H784,IF(F784="BUY",H784-G784)))*E784</f>
        <v>3702</v>
      </c>
      <c r="L784" s="43">
        <v>0</v>
      </c>
      <c r="M784" s="43">
        <v>0</v>
      </c>
      <c r="N784" s="1">
        <f t="shared" si="1763"/>
        <v>2</v>
      </c>
      <c r="O784" s="1">
        <f t="shared" si="1764"/>
        <v>3702</v>
      </c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1"/>
      <c r="AD784" s="31"/>
      <c r="AE784" s="31"/>
      <c r="AF784" s="31"/>
      <c r="AG784" s="31"/>
    </row>
    <row r="785" spans="1:33" s="32" customFormat="1" ht="15" customHeight="1">
      <c r="A785" s="37">
        <v>43962</v>
      </c>
      <c r="B785" s="20" t="s">
        <v>21</v>
      </c>
      <c r="C785" s="20" t="s">
        <v>425</v>
      </c>
      <c r="D785" s="20">
        <v>160</v>
      </c>
      <c r="E785" s="38">
        <v>3000</v>
      </c>
      <c r="F785" s="20" t="s">
        <v>8</v>
      </c>
      <c r="G785" s="43">
        <v>7.8</v>
      </c>
      <c r="H785" s="43">
        <v>7.3</v>
      </c>
      <c r="I785" s="43">
        <v>0</v>
      </c>
      <c r="J785" s="43">
        <v>0</v>
      </c>
      <c r="K785" s="1">
        <f t="shared" ref="K785" si="1812">(IF(F785="SELL",G785-H785,IF(F785="BUY",H785-G785)))*E785</f>
        <v>-1500</v>
      </c>
      <c r="L785" s="43">
        <v>0</v>
      </c>
      <c r="M785" s="43">
        <v>0</v>
      </c>
      <c r="N785" s="1">
        <f t="shared" si="1763"/>
        <v>-0.5</v>
      </c>
      <c r="O785" s="1">
        <f t="shared" si="1764"/>
        <v>-1500</v>
      </c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1"/>
      <c r="AD785" s="31"/>
      <c r="AE785" s="31"/>
      <c r="AF785" s="31"/>
      <c r="AG785" s="31"/>
    </row>
    <row r="786" spans="1:33" s="32" customFormat="1" ht="15" customHeight="1">
      <c r="A786" s="37">
        <v>43962</v>
      </c>
      <c r="B786" s="20" t="s">
        <v>357</v>
      </c>
      <c r="C786" s="20" t="s">
        <v>47</v>
      </c>
      <c r="D786" s="20">
        <v>1650</v>
      </c>
      <c r="E786" s="38">
        <v>800</v>
      </c>
      <c r="F786" s="20" t="s">
        <v>8</v>
      </c>
      <c r="G786" s="43">
        <v>13</v>
      </c>
      <c r="H786" s="43">
        <v>10</v>
      </c>
      <c r="I786" s="43">
        <v>0</v>
      </c>
      <c r="J786" s="43">
        <v>0</v>
      </c>
      <c r="K786" s="1">
        <f t="shared" ref="K786" si="1813">(IF(F786="SELL",G786-H786,IF(F786="BUY",H786-G786)))*E786</f>
        <v>-2400</v>
      </c>
      <c r="L786" s="43">
        <v>0</v>
      </c>
      <c r="M786" s="43">
        <v>0</v>
      </c>
      <c r="N786" s="1">
        <f t="shared" si="1763"/>
        <v>-3</v>
      </c>
      <c r="O786" s="1">
        <f t="shared" si="1764"/>
        <v>-2400</v>
      </c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1"/>
      <c r="AD786" s="31"/>
      <c r="AE786" s="31"/>
      <c r="AF786" s="31"/>
      <c r="AG786" s="31"/>
    </row>
    <row r="787" spans="1:33" s="32" customFormat="1" ht="15" customHeight="1">
      <c r="A787" s="37">
        <v>43959</v>
      </c>
      <c r="B787" s="20" t="s">
        <v>162</v>
      </c>
      <c r="C787" s="20" t="s">
        <v>47</v>
      </c>
      <c r="D787" s="20">
        <v>1650</v>
      </c>
      <c r="E787" s="38">
        <v>500</v>
      </c>
      <c r="F787" s="20" t="s">
        <v>8</v>
      </c>
      <c r="G787" s="43">
        <v>43</v>
      </c>
      <c r="H787" s="43">
        <v>49</v>
      </c>
      <c r="I787" s="43">
        <v>0</v>
      </c>
      <c r="J787" s="43">
        <v>0</v>
      </c>
      <c r="K787" s="1">
        <f t="shared" ref="K787" si="1814">(IF(F787="SELL",G787-H787,IF(F787="BUY",H787-G787)))*E787</f>
        <v>3000</v>
      </c>
      <c r="L787" s="43">
        <v>0</v>
      </c>
      <c r="M787" s="43">
        <v>0</v>
      </c>
      <c r="N787" s="1">
        <f t="shared" si="1763"/>
        <v>6</v>
      </c>
      <c r="O787" s="1">
        <f t="shared" si="1764"/>
        <v>3000</v>
      </c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  <c r="AA787" s="31"/>
      <c r="AB787" s="31"/>
      <c r="AC787" s="31"/>
      <c r="AD787" s="31"/>
      <c r="AE787" s="31"/>
      <c r="AF787" s="31"/>
      <c r="AG787" s="31"/>
    </row>
    <row r="788" spans="1:33" s="32" customFormat="1" ht="15" customHeight="1">
      <c r="A788" s="37">
        <v>43959</v>
      </c>
      <c r="B788" s="20" t="s">
        <v>39</v>
      </c>
      <c r="C788" s="20" t="s">
        <v>47</v>
      </c>
      <c r="D788" s="20">
        <v>1640</v>
      </c>
      <c r="E788" s="38">
        <v>500</v>
      </c>
      <c r="F788" s="20" t="s">
        <v>8</v>
      </c>
      <c r="G788" s="43">
        <v>34</v>
      </c>
      <c r="H788" s="43">
        <v>40</v>
      </c>
      <c r="I788" s="43">
        <v>0</v>
      </c>
      <c r="J788" s="43">
        <v>0</v>
      </c>
      <c r="K788" s="1">
        <f t="shared" ref="K788" si="1815">(IF(F788="SELL",G788-H788,IF(F788="BUY",H788-G788)))*E788</f>
        <v>3000</v>
      </c>
      <c r="L788" s="43">
        <v>0</v>
      </c>
      <c r="M788" s="43">
        <v>0</v>
      </c>
      <c r="N788" s="1">
        <f t="shared" si="1763"/>
        <v>6</v>
      </c>
      <c r="O788" s="1">
        <f t="shared" si="1764"/>
        <v>3000</v>
      </c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  <c r="AA788" s="31"/>
      <c r="AB788" s="31"/>
      <c r="AC788" s="31"/>
      <c r="AD788" s="31"/>
      <c r="AE788" s="31"/>
      <c r="AF788" s="31"/>
      <c r="AG788" s="31"/>
    </row>
    <row r="789" spans="1:33" s="32" customFormat="1" ht="15" customHeight="1">
      <c r="A789" s="37">
        <v>43958</v>
      </c>
      <c r="B789" s="20" t="s">
        <v>446</v>
      </c>
      <c r="C789" s="20" t="s">
        <v>47</v>
      </c>
      <c r="D789" s="20">
        <v>2100</v>
      </c>
      <c r="E789" s="38">
        <v>300</v>
      </c>
      <c r="F789" s="20" t="s">
        <v>8</v>
      </c>
      <c r="G789" s="43">
        <v>46</v>
      </c>
      <c r="H789" s="43">
        <v>51.8</v>
      </c>
      <c r="I789" s="43">
        <v>0</v>
      </c>
      <c r="J789" s="43">
        <v>0</v>
      </c>
      <c r="K789" s="1">
        <f t="shared" ref="K789" si="1816">(IF(F789="SELL",G789-H789,IF(F789="BUY",H789-G789)))*E789</f>
        <v>1739.9999999999991</v>
      </c>
      <c r="L789" s="43">
        <v>0</v>
      </c>
      <c r="M789" s="43">
        <v>0</v>
      </c>
      <c r="N789" s="1">
        <f t="shared" si="1763"/>
        <v>5.7999999999999972</v>
      </c>
      <c r="O789" s="1">
        <f t="shared" si="1764"/>
        <v>1739.9999999999991</v>
      </c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  <c r="AA789" s="31"/>
      <c r="AB789" s="31"/>
      <c r="AC789" s="31"/>
      <c r="AD789" s="31"/>
      <c r="AE789" s="31"/>
      <c r="AF789" s="31"/>
      <c r="AG789" s="31"/>
    </row>
    <row r="790" spans="1:33" s="32" customFormat="1" ht="15" customHeight="1">
      <c r="A790" s="37">
        <v>43958</v>
      </c>
      <c r="B790" s="20" t="s">
        <v>487</v>
      </c>
      <c r="C790" s="20" t="s">
        <v>47</v>
      </c>
      <c r="D790" s="20">
        <v>380</v>
      </c>
      <c r="E790" s="38">
        <v>2700</v>
      </c>
      <c r="F790" s="20" t="s">
        <v>8</v>
      </c>
      <c r="G790" s="43">
        <v>4.0999999999999996</v>
      </c>
      <c r="H790" s="43">
        <v>4.0999999999999996</v>
      </c>
      <c r="I790" s="43">
        <v>0</v>
      </c>
      <c r="J790" s="43">
        <v>0</v>
      </c>
      <c r="K790" s="1">
        <f t="shared" ref="K790" si="1817">(IF(F790="SELL",G790-H790,IF(F790="BUY",H790-G790)))*E790</f>
        <v>0</v>
      </c>
      <c r="L790" s="43">
        <v>0</v>
      </c>
      <c r="M790" s="43">
        <v>0</v>
      </c>
      <c r="N790" s="1">
        <f t="shared" si="1763"/>
        <v>0</v>
      </c>
      <c r="O790" s="1">
        <f t="shared" si="1764"/>
        <v>0</v>
      </c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  <c r="AA790" s="31"/>
      <c r="AB790" s="31"/>
      <c r="AC790" s="31"/>
      <c r="AD790" s="31"/>
      <c r="AE790" s="31"/>
      <c r="AF790" s="31"/>
      <c r="AG790" s="31"/>
    </row>
    <row r="791" spans="1:33" s="32" customFormat="1" ht="15" customHeight="1">
      <c r="A791" s="37">
        <v>43957</v>
      </c>
      <c r="B791" s="20" t="s">
        <v>72</v>
      </c>
      <c r="C791" s="20" t="s">
        <v>47</v>
      </c>
      <c r="D791" s="20">
        <v>400</v>
      </c>
      <c r="E791" s="38">
        <v>1800</v>
      </c>
      <c r="F791" s="20" t="s">
        <v>8</v>
      </c>
      <c r="G791" s="43">
        <v>6.8</v>
      </c>
      <c r="H791" s="43">
        <v>6.8</v>
      </c>
      <c r="I791" s="43">
        <v>0</v>
      </c>
      <c r="J791" s="43">
        <v>0</v>
      </c>
      <c r="K791" s="1">
        <f t="shared" ref="K791" si="1818">(IF(F791="SELL",G791-H791,IF(F791="BUY",H791-G791)))*E791</f>
        <v>0</v>
      </c>
      <c r="L791" s="43">
        <v>0</v>
      </c>
      <c r="M791" s="43">
        <v>0</v>
      </c>
      <c r="N791" s="1">
        <f t="shared" si="1763"/>
        <v>0</v>
      </c>
      <c r="O791" s="1">
        <f t="shared" si="1764"/>
        <v>0</v>
      </c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  <c r="AA791" s="31"/>
      <c r="AB791" s="31"/>
      <c r="AC791" s="31"/>
      <c r="AD791" s="31"/>
      <c r="AE791" s="31"/>
      <c r="AF791" s="31"/>
      <c r="AG791" s="31"/>
    </row>
    <row r="792" spans="1:33" s="32" customFormat="1" ht="15" customHeight="1">
      <c r="A792" s="37">
        <v>43957</v>
      </c>
      <c r="B792" s="20" t="s">
        <v>39</v>
      </c>
      <c r="C792" s="20" t="s">
        <v>47</v>
      </c>
      <c r="D792" s="20">
        <v>1580</v>
      </c>
      <c r="E792" s="38">
        <v>500</v>
      </c>
      <c r="F792" s="20" t="s">
        <v>8</v>
      </c>
      <c r="G792" s="43">
        <v>38</v>
      </c>
      <c r="H792" s="43">
        <v>32</v>
      </c>
      <c r="I792" s="43">
        <v>0</v>
      </c>
      <c r="J792" s="43">
        <v>0</v>
      </c>
      <c r="K792" s="1">
        <f t="shared" ref="K792" si="1819">(IF(F792="SELL",G792-H792,IF(F792="BUY",H792-G792)))*E792</f>
        <v>-3000</v>
      </c>
      <c r="L792" s="43">
        <v>0</v>
      </c>
      <c r="M792" s="43">
        <v>0</v>
      </c>
      <c r="N792" s="1">
        <f t="shared" si="1763"/>
        <v>-6</v>
      </c>
      <c r="O792" s="1">
        <f t="shared" si="1764"/>
        <v>-3000</v>
      </c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  <c r="AA792" s="31"/>
      <c r="AB792" s="31"/>
      <c r="AC792" s="31"/>
      <c r="AD792" s="31"/>
      <c r="AE792" s="31"/>
      <c r="AF792" s="31"/>
      <c r="AG792" s="31"/>
    </row>
    <row r="793" spans="1:33" s="32" customFormat="1" ht="15" customHeight="1">
      <c r="A793" s="37">
        <v>43956</v>
      </c>
      <c r="B793" s="20" t="s">
        <v>39</v>
      </c>
      <c r="C793" s="20" t="s">
        <v>47</v>
      </c>
      <c r="D793" s="20">
        <v>1600</v>
      </c>
      <c r="E793" s="38">
        <v>500</v>
      </c>
      <c r="F793" s="20" t="s">
        <v>8</v>
      </c>
      <c r="G793" s="43">
        <v>32</v>
      </c>
      <c r="H793" s="43">
        <v>36</v>
      </c>
      <c r="I793" s="43">
        <v>0</v>
      </c>
      <c r="J793" s="43">
        <v>0</v>
      </c>
      <c r="K793" s="1">
        <f t="shared" ref="K793" si="1820">(IF(F793="SELL",G793-H793,IF(F793="BUY",H793-G793)))*E793</f>
        <v>2000</v>
      </c>
      <c r="L793" s="43">
        <v>0</v>
      </c>
      <c r="M793" s="43">
        <v>0</v>
      </c>
      <c r="N793" s="1">
        <f t="shared" si="1763"/>
        <v>4</v>
      </c>
      <c r="O793" s="1">
        <f t="shared" si="1764"/>
        <v>2000</v>
      </c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  <c r="AA793" s="31"/>
      <c r="AB793" s="31"/>
      <c r="AC793" s="31"/>
      <c r="AD793" s="31"/>
      <c r="AE793" s="31"/>
      <c r="AF793" s="31"/>
      <c r="AG793" s="31"/>
    </row>
    <row r="794" spans="1:33" s="32" customFormat="1" ht="15" customHeight="1">
      <c r="A794" s="37">
        <v>43956</v>
      </c>
      <c r="B794" s="20" t="s">
        <v>21</v>
      </c>
      <c r="C794" s="20" t="s">
        <v>47</v>
      </c>
      <c r="D794" s="20">
        <v>160</v>
      </c>
      <c r="E794" s="38">
        <v>3000</v>
      </c>
      <c r="F794" s="20" t="s">
        <v>8</v>
      </c>
      <c r="G794" s="43">
        <v>7.5</v>
      </c>
      <c r="H794" s="43">
        <v>8.5</v>
      </c>
      <c r="I794" s="43">
        <v>9.5</v>
      </c>
      <c r="J794" s="43">
        <v>10.4</v>
      </c>
      <c r="K794" s="1">
        <f t="shared" ref="K794" si="1821">(IF(F794="SELL",G794-H794,IF(F794="BUY",H794-G794)))*E794</f>
        <v>3000</v>
      </c>
      <c r="L794" s="43">
        <v>3000</v>
      </c>
      <c r="M794" s="43">
        <v>2700</v>
      </c>
      <c r="N794" s="1">
        <f t="shared" si="1763"/>
        <v>2.9</v>
      </c>
      <c r="O794" s="1">
        <f t="shared" si="1764"/>
        <v>8700</v>
      </c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1"/>
      <c r="AD794" s="31"/>
      <c r="AE794" s="31"/>
      <c r="AF794" s="31"/>
      <c r="AG794" s="31"/>
    </row>
    <row r="795" spans="1:33" s="32" customFormat="1" ht="15" customHeight="1">
      <c r="A795" s="37">
        <v>43956</v>
      </c>
      <c r="B795" s="20" t="s">
        <v>175</v>
      </c>
      <c r="C795" s="20" t="s">
        <v>46</v>
      </c>
      <c r="D795" s="20">
        <v>1600</v>
      </c>
      <c r="E795" s="38">
        <v>250</v>
      </c>
      <c r="F795" s="20" t="s">
        <v>8</v>
      </c>
      <c r="G795" s="43">
        <v>44</v>
      </c>
      <c r="H795" s="43">
        <v>47.1</v>
      </c>
      <c r="I795" s="43">
        <v>0</v>
      </c>
      <c r="J795" s="43">
        <v>0</v>
      </c>
      <c r="K795" s="1">
        <f t="shared" ref="K795" si="1822">(IF(F795="SELL",G795-H795,IF(F795="BUY",H795-G795)))*E795</f>
        <v>775.00000000000034</v>
      </c>
      <c r="L795" s="43">
        <v>0</v>
      </c>
      <c r="M795" s="43">
        <v>0</v>
      </c>
      <c r="N795" s="1">
        <f t="shared" si="1763"/>
        <v>3.1000000000000014</v>
      </c>
      <c r="O795" s="1">
        <f t="shared" si="1764"/>
        <v>775.00000000000034</v>
      </c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1"/>
      <c r="AD795" s="31"/>
      <c r="AE795" s="31"/>
      <c r="AF795" s="31"/>
      <c r="AG795" s="31"/>
    </row>
    <row r="796" spans="1:33" s="32" customFormat="1" ht="15" customHeight="1">
      <c r="A796" s="37">
        <v>43955</v>
      </c>
      <c r="B796" s="20" t="s">
        <v>489</v>
      </c>
      <c r="C796" s="20" t="s">
        <v>47</v>
      </c>
      <c r="D796" s="20">
        <v>350</v>
      </c>
      <c r="E796" s="38">
        <v>2200</v>
      </c>
      <c r="F796" s="20" t="s">
        <v>8</v>
      </c>
      <c r="G796" s="43">
        <v>17</v>
      </c>
      <c r="H796" s="43">
        <v>20</v>
      </c>
      <c r="I796" s="43">
        <v>0</v>
      </c>
      <c r="J796" s="43">
        <v>0</v>
      </c>
      <c r="K796" s="1">
        <f t="shared" ref="K796" si="1823">(IF(F796="SELL",G796-H796,IF(F796="BUY",H796-G796)))*E796</f>
        <v>6600</v>
      </c>
      <c r="L796" s="43">
        <v>0</v>
      </c>
      <c r="M796" s="43">
        <v>0</v>
      </c>
      <c r="N796" s="1">
        <f t="shared" si="1763"/>
        <v>3</v>
      </c>
      <c r="O796" s="1">
        <f t="shared" si="1764"/>
        <v>6600</v>
      </c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1"/>
      <c r="AD796" s="31"/>
      <c r="AE796" s="31"/>
      <c r="AF796" s="31"/>
      <c r="AG796" s="31"/>
    </row>
    <row r="797" spans="1:33" s="32" customFormat="1" ht="15" customHeight="1">
      <c r="A797" s="37">
        <v>43955</v>
      </c>
      <c r="B797" s="20" t="s">
        <v>471</v>
      </c>
      <c r="C797" s="20" t="s">
        <v>47</v>
      </c>
      <c r="D797" s="20">
        <v>740</v>
      </c>
      <c r="E797" s="38">
        <v>1000</v>
      </c>
      <c r="F797" s="20" t="s">
        <v>8</v>
      </c>
      <c r="G797" s="43">
        <v>20</v>
      </c>
      <c r="H797" s="43">
        <v>23</v>
      </c>
      <c r="I797" s="43">
        <v>26</v>
      </c>
      <c r="J797" s="43">
        <v>32</v>
      </c>
      <c r="K797" s="1">
        <f t="shared" ref="K797" si="1824">(IF(F797="SELL",G797-H797,IF(F797="BUY",H797-G797)))*E797</f>
        <v>3000</v>
      </c>
      <c r="L797" s="43">
        <v>3000</v>
      </c>
      <c r="M797" s="43">
        <v>7000</v>
      </c>
      <c r="N797" s="1">
        <f t="shared" si="1763"/>
        <v>13</v>
      </c>
      <c r="O797" s="1">
        <f t="shared" si="1764"/>
        <v>13000</v>
      </c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  <c r="AA797" s="31"/>
      <c r="AB797" s="31"/>
      <c r="AC797" s="31"/>
      <c r="AD797" s="31"/>
      <c r="AE797" s="31"/>
      <c r="AF797" s="31"/>
      <c r="AG797" s="31"/>
    </row>
    <row r="798" spans="1:33" s="32" customFormat="1" ht="15" customHeight="1">
      <c r="A798" s="37">
        <v>43951</v>
      </c>
      <c r="B798" s="20" t="s">
        <v>128</v>
      </c>
      <c r="C798" s="20" t="s">
        <v>47</v>
      </c>
      <c r="D798" s="20">
        <v>1340</v>
      </c>
      <c r="E798" s="38">
        <v>400</v>
      </c>
      <c r="F798" s="20" t="s">
        <v>8</v>
      </c>
      <c r="G798" s="43">
        <v>20</v>
      </c>
      <c r="H798" s="43">
        <v>26</v>
      </c>
      <c r="I798" s="43">
        <v>36</v>
      </c>
      <c r="J798" s="43">
        <v>0</v>
      </c>
      <c r="K798" s="1">
        <f t="shared" ref="K798" si="1825">(IF(F798="SELL",G798-H798,IF(F798="BUY",H798-G798)))*E798</f>
        <v>2400</v>
      </c>
      <c r="L798" s="43">
        <v>4000</v>
      </c>
      <c r="M798" s="43">
        <v>0</v>
      </c>
      <c r="N798" s="1">
        <f t="shared" si="1763"/>
        <v>16</v>
      </c>
      <c r="O798" s="1">
        <f t="shared" si="1764"/>
        <v>6400</v>
      </c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  <c r="AA798" s="31"/>
      <c r="AB798" s="31"/>
      <c r="AC798" s="31"/>
      <c r="AD798" s="31"/>
      <c r="AE798" s="31"/>
      <c r="AF798" s="31"/>
      <c r="AG798" s="31"/>
    </row>
    <row r="799" spans="1:33" s="32" customFormat="1" ht="15" customHeight="1">
      <c r="A799" s="37">
        <v>43951</v>
      </c>
      <c r="B799" s="20" t="s">
        <v>122</v>
      </c>
      <c r="C799" s="20" t="s">
        <v>47</v>
      </c>
      <c r="D799" s="20">
        <v>2100</v>
      </c>
      <c r="E799" s="38">
        <v>250</v>
      </c>
      <c r="F799" s="20" t="s">
        <v>8</v>
      </c>
      <c r="G799" s="43">
        <v>28</v>
      </c>
      <c r="H799" s="43">
        <v>33.450000000000003</v>
      </c>
      <c r="I799" s="43">
        <v>0</v>
      </c>
      <c r="J799" s="43">
        <v>0</v>
      </c>
      <c r="K799" s="1">
        <f t="shared" ref="K799" si="1826">(IF(F799="SELL",G799-H799,IF(F799="BUY",H799-G799)))*E799</f>
        <v>1362.5000000000007</v>
      </c>
      <c r="L799" s="43">
        <v>0</v>
      </c>
      <c r="M799" s="43">
        <v>0</v>
      </c>
      <c r="N799" s="1">
        <f t="shared" si="1763"/>
        <v>5.4500000000000028</v>
      </c>
      <c r="O799" s="1">
        <f t="shared" si="1764"/>
        <v>1362.5000000000007</v>
      </c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  <c r="AA799" s="31"/>
      <c r="AB799" s="31"/>
      <c r="AC799" s="31"/>
      <c r="AD799" s="31"/>
      <c r="AE799" s="31"/>
      <c r="AF799" s="31"/>
      <c r="AG799" s="31"/>
    </row>
    <row r="800" spans="1:33" s="32" customFormat="1" ht="15" customHeight="1">
      <c r="A800" s="37">
        <v>43950</v>
      </c>
      <c r="B800" s="20" t="s">
        <v>413</v>
      </c>
      <c r="C800" s="20" t="s">
        <v>47</v>
      </c>
      <c r="D800" s="20">
        <v>120</v>
      </c>
      <c r="E800" s="38">
        <v>1200</v>
      </c>
      <c r="F800" s="20" t="s">
        <v>8</v>
      </c>
      <c r="G800" s="43">
        <v>5</v>
      </c>
      <c r="H800" s="43">
        <v>7</v>
      </c>
      <c r="I800" s="43">
        <v>9</v>
      </c>
      <c r="J800" s="43">
        <v>13</v>
      </c>
      <c r="K800" s="1">
        <f t="shared" ref="K800" si="1827">(IF(F800="SELL",G800-H800,IF(F800="BUY",H800-G800)))*E800</f>
        <v>2400</v>
      </c>
      <c r="L800" s="43">
        <v>2400</v>
      </c>
      <c r="M800" s="43">
        <v>4800</v>
      </c>
      <c r="N800" s="1">
        <f t="shared" ref="N800:N863" si="1828">(L800+K800+M800)/E800</f>
        <v>8</v>
      </c>
      <c r="O800" s="1">
        <f t="shared" ref="O800:O863" si="1829">N800*E800</f>
        <v>9600</v>
      </c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  <c r="AA800" s="31"/>
      <c r="AB800" s="31"/>
      <c r="AC800" s="31"/>
      <c r="AD800" s="31"/>
      <c r="AE800" s="31"/>
      <c r="AF800" s="31"/>
      <c r="AG800" s="31"/>
    </row>
    <row r="801" spans="1:33" s="32" customFormat="1" ht="15" customHeight="1">
      <c r="A801" s="37">
        <v>43950</v>
      </c>
      <c r="B801" s="20" t="s">
        <v>467</v>
      </c>
      <c r="C801" s="20" t="s">
        <v>47</v>
      </c>
      <c r="D801" s="20">
        <v>980</v>
      </c>
      <c r="E801" s="38">
        <v>500</v>
      </c>
      <c r="F801" s="20" t="s">
        <v>8</v>
      </c>
      <c r="G801" s="43">
        <v>14</v>
      </c>
      <c r="H801" s="43">
        <v>18.850000000000001</v>
      </c>
      <c r="I801" s="43">
        <v>0</v>
      </c>
      <c r="J801" s="43">
        <v>0</v>
      </c>
      <c r="K801" s="1">
        <f t="shared" ref="K801" si="1830">(IF(F801="SELL",G801-H801,IF(F801="BUY",H801-G801)))*E801</f>
        <v>2425.0000000000009</v>
      </c>
      <c r="L801" s="43">
        <v>0</v>
      </c>
      <c r="M801" s="43">
        <v>0</v>
      </c>
      <c r="N801" s="1">
        <f t="shared" si="1828"/>
        <v>4.8500000000000014</v>
      </c>
      <c r="O801" s="1">
        <f t="shared" si="1829"/>
        <v>2425.0000000000009</v>
      </c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  <c r="AA801" s="31"/>
      <c r="AB801" s="31"/>
      <c r="AC801" s="31"/>
      <c r="AD801" s="31"/>
      <c r="AE801" s="31"/>
      <c r="AF801" s="31"/>
      <c r="AG801" s="31"/>
    </row>
    <row r="802" spans="1:33" s="32" customFormat="1" ht="15" customHeight="1">
      <c r="A802" s="37">
        <v>43950</v>
      </c>
      <c r="B802" s="20" t="s">
        <v>24</v>
      </c>
      <c r="C802" s="20" t="s">
        <v>47</v>
      </c>
      <c r="D802" s="20">
        <v>77.5</v>
      </c>
      <c r="E802" s="38">
        <v>4300</v>
      </c>
      <c r="F802" s="20" t="s">
        <v>8</v>
      </c>
      <c r="G802" s="43">
        <v>2.2999999999999998</v>
      </c>
      <c r="H802" s="43">
        <v>1.7</v>
      </c>
      <c r="I802" s="43">
        <v>0</v>
      </c>
      <c r="J802" s="43">
        <v>0</v>
      </c>
      <c r="K802" s="1">
        <f t="shared" ref="K802" si="1831">(IF(F802="SELL",G802-H802,IF(F802="BUY",H802-G802)))*E802</f>
        <v>-2579.9999999999995</v>
      </c>
      <c r="L802" s="43">
        <v>0</v>
      </c>
      <c r="M802" s="43">
        <v>0</v>
      </c>
      <c r="N802" s="1">
        <f t="shared" si="1828"/>
        <v>-0.59999999999999987</v>
      </c>
      <c r="O802" s="1">
        <f t="shared" si="1829"/>
        <v>-2579.9999999999995</v>
      </c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  <c r="AA802" s="31"/>
      <c r="AB802" s="31"/>
      <c r="AC802" s="31"/>
      <c r="AD802" s="31"/>
      <c r="AE802" s="31"/>
      <c r="AF802" s="31"/>
      <c r="AG802" s="31"/>
    </row>
    <row r="803" spans="1:33" s="32" customFormat="1" ht="15" customHeight="1">
      <c r="A803" s="37">
        <v>43949</v>
      </c>
      <c r="B803" s="20" t="s">
        <v>488</v>
      </c>
      <c r="C803" s="20" t="s">
        <v>47</v>
      </c>
      <c r="D803" s="20">
        <v>1550</v>
      </c>
      <c r="E803" s="38">
        <v>500</v>
      </c>
      <c r="F803" s="20" t="s">
        <v>8</v>
      </c>
      <c r="G803" s="43">
        <v>34</v>
      </c>
      <c r="H803" s="43">
        <v>25</v>
      </c>
      <c r="I803" s="43">
        <v>0</v>
      </c>
      <c r="J803" s="43">
        <v>0</v>
      </c>
      <c r="K803" s="1">
        <f t="shared" ref="K803" si="1832">(IF(F803="SELL",G803-H803,IF(F803="BUY",H803-G803)))*E803</f>
        <v>-4500</v>
      </c>
      <c r="L803" s="43">
        <v>0</v>
      </c>
      <c r="M803" s="43">
        <v>0</v>
      </c>
      <c r="N803" s="1">
        <f t="shared" si="1828"/>
        <v>-9</v>
      </c>
      <c r="O803" s="1">
        <f t="shared" si="1829"/>
        <v>-4500</v>
      </c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  <c r="AA803" s="31"/>
      <c r="AB803" s="31"/>
      <c r="AC803" s="31"/>
      <c r="AD803" s="31"/>
      <c r="AE803" s="31"/>
      <c r="AF803" s="31"/>
      <c r="AG803" s="31"/>
    </row>
    <row r="804" spans="1:33" s="32" customFormat="1" ht="15" customHeight="1">
      <c r="A804" s="37">
        <v>43949</v>
      </c>
      <c r="B804" s="20" t="s">
        <v>122</v>
      </c>
      <c r="C804" s="20" t="s">
        <v>47</v>
      </c>
      <c r="D804" s="20">
        <v>1640</v>
      </c>
      <c r="E804" s="38">
        <v>250</v>
      </c>
      <c r="F804" s="20" t="s">
        <v>8</v>
      </c>
      <c r="G804" s="43">
        <v>41</v>
      </c>
      <c r="H804" s="43">
        <v>51</v>
      </c>
      <c r="I804" s="43">
        <v>61</v>
      </c>
      <c r="J804" s="43">
        <v>80</v>
      </c>
      <c r="K804" s="1">
        <f t="shared" ref="K804" si="1833">(IF(F804="SELL",G804-H804,IF(F804="BUY",H804-G804)))*E804</f>
        <v>2500</v>
      </c>
      <c r="L804" s="43">
        <v>2500</v>
      </c>
      <c r="M804" s="43">
        <f>19*250</f>
        <v>4750</v>
      </c>
      <c r="N804" s="1">
        <f t="shared" si="1828"/>
        <v>39</v>
      </c>
      <c r="O804" s="1">
        <f t="shared" si="1829"/>
        <v>9750</v>
      </c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1"/>
      <c r="AD804" s="31"/>
      <c r="AE804" s="31"/>
      <c r="AF804" s="31"/>
      <c r="AG804" s="31"/>
    </row>
    <row r="805" spans="1:33" s="32" customFormat="1" ht="15" customHeight="1">
      <c r="A805" s="37">
        <v>43949</v>
      </c>
      <c r="B805" s="20" t="s">
        <v>128</v>
      </c>
      <c r="C805" s="20" t="s">
        <v>47</v>
      </c>
      <c r="D805" s="20">
        <v>1340</v>
      </c>
      <c r="E805" s="38">
        <v>400</v>
      </c>
      <c r="F805" s="20" t="s">
        <v>8</v>
      </c>
      <c r="G805" s="43">
        <v>21</v>
      </c>
      <c r="H805" s="43">
        <v>25.65</v>
      </c>
      <c r="I805" s="43">
        <v>0</v>
      </c>
      <c r="J805" s="43">
        <v>0</v>
      </c>
      <c r="K805" s="1">
        <f t="shared" ref="K805" si="1834">(IF(F805="SELL",G805-H805,IF(F805="BUY",H805-G805)))*E805</f>
        <v>1859.9999999999995</v>
      </c>
      <c r="L805" s="43">
        <v>0</v>
      </c>
      <c r="M805" s="43">
        <v>0</v>
      </c>
      <c r="N805" s="1">
        <f t="shared" si="1828"/>
        <v>4.6499999999999986</v>
      </c>
      <c r="O805" s="1">
        <f t="shared" si="1829"/>
        <v>1859.9999999999995</v>
      </c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1"/>
      <c r="AD805" s="31"/>
      <c r="AE805" s="31"/>
      <c r="AF805" s="31"/>
      <c r="AG805" s="31"/>
    </row>
    <row r="806" spans="1:33" s="32" customFormat="1" ht="15" customHeight="1">
      <c r="A806" s="37">
        <v>43948</v>
      </c>
      <c r="B806" s="20" t="s">
        <v>128</v>
      </c>
      <c r="C806" s="20" t="s">
        <v>47</v>
      </c>
      <c r="D806" s="20">
        <v>1320</v>
      </c>
      <c r="E806" s="38">
        <v>400</v>
      </c>
      <c r="F806" s="20" t="s">
        <v>8</v>
      </c>
      <c r="G806" s="43">
        <v>21</v>
      </c>
      <c r="H806" s="43">
        <v>27</v>
      </c>
      <c r="I806" s="43">
        <v>37</v>
      </c>
      <c r="J806" s="43">
        <v>0</v>
      </c>
      <c r="K806" s="1">
        <f t="shared" ref="K806" si="1835">(IF(F806="SELL",G806-H806,IF(F806="BUY",H806-G806)))*E806</f>
        <v>2400</v>
      </c>
      <c r="L806" s="43">
        <v>4000</v>
      </c>
      <c r="M806" s="43">
        <v>0</v>
      </c>
      <c r="N806" s="1">
        <f t="shared" si="1828"/>
        <v>16</v>
      </c>
      <c r="O806" s="1">
        <f t="shared" si="1829"/>
        <v>6400</v>
      </c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1"/>
      <c r="AD806" s="31"/>
      <c r="AE806" s="31"/>
      <c r="AF806" s="31"/>
      <c r="AG806" s="31"/>
    </row>
    <row r="807" spans="1:33" s="32" customFormat="1" ht="15" customHeight="1">
      <c r="A807" s="37">
        <v>43948</v>
      </c>
      <c r="B807" s="20" t="s">
        <v>20</v>
      </c>
      <c r="C807" s="20" t="s">
        <v>47</v>
      </c>
      <c r="D807" s="20">
        <v>690</v>
      </c>
      <c r="E807" s="38">
        <v>1200</v>
      </c>
      <c r="F807" s="20" t="s">
        <v>8</v>
      </c>
      <c r="G807" s="43">
        <v>6.2</v>
      </c>
      <c r="H807" s="43">
        <v>8.1999999999999993</v>
      </c>
      <c r="I807" s="43">
        <v>0</v>
      </c>
      <c r="J807" s="43">
        <v>0</v>
      </c>
      <c r="K807" s="1">
        <f t="shared" ref="K807" si="1836">(IF(F807="SELL",G807-H807,IF(F807="BUY",H807-G807)))*E807</f>
        <v>2399.9999999999991</v>
      </c>
      <c r="L807" s="43">
        <v>0</v>
      </c>
      <c r="M807" s="43">
        <v>0</v>
      </c>
      <c r="N807" s="1">
        <f t="shared" si="1828"/>
        <v>1.9999999999999993</v>
      </c>
      <c r="O807" s="1">
        <f t="shared" si="1829"/>
        <v>2399.9999999999991</v>
      </c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  <c r="AA807" s="31"/>
      <c r="AB807" s="31"/>
      <c r="AC807" s="31"/>
      <c r="AD807" s="31"/>
      <c r="AE807" s="31"/>
      <c r="AF807" s="31"/>
      <c r="AG807" s="31"/>
    </row>
    <row r="808" spans="1:33" s="32" customFormat="1" ht="15" customHeight="1">
      <c r="A808" s="37">
        <v>43945</v>
      </c>
      <c r="B808" s="20" t="s">
        <v>208</v>
      </c>
      <c r="C808" s="20" t="s">
        <v>47</v>
      </c>
      <c r="D808" s="20">
        <v>2500</v>
      </c>
      <c r="E808" s="38">
        <v>400</v>
      </c>
      <c r="F808" s="20" t="s">
        <v>8</v>
      </c>
      <c r="G808" s="43">
        <v>34</v>
      </c>
      <c r="H808" s="43">
        <v>40</v>
      </c>
      <c r="I808" s="43">
        <v>0</v>
      </c>
      <c r="J808" s="43">
        <v>0</v>
      </c>
      <c r="K808" s="1">
        <f t="shared" ref="K808" si="1837">(IF(F808="SELL",G808-H808,IF(F808="BUY",H808-G808)))*E808</f>
        <v>2400</v>
      </c>
      <c r="L808" s="43">
        <v>0</v>
      </c>
      <c r="M808" s="43">
        <v>0</v>
      </c>
      <c r="N808" s="1">
        <f t="shared" si="1828"/>
        <v>6</v>
      </c>
      <c r="O808" s="1">
        <f t="shared" si="1829"/>
        <v>2400</v>
      </c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  <c r="AA808" s="31"/>
      <c r="AB808" s="31"/>
      <c r="AC808" s="31"/>
      <c r="AD808" s="31"/>
      <c r="AE808" s="31"/>
      <c r="AF808" s="31"/>
      <c r="AG808" s="31"/>
    </row>
    <row r="809" spans="1:33" s="32" customFormat="1" ht="15" customHeight="1">
      <c r="A809" s="37">
        <v>43944</v>
      </c>
      <c r="B809" s="20" t="s">
        <v>417</v>
      </c>
      <c r="C809" s="20" t="s">
        <v>47</v>
      </c>
      <c r="D809" s="20">
        <v>430</v>
      </c>
      <c r="E809" s="38">
        <v>1400</v>
      </c>
      <c r="F809" s="20" t="s">
        <v>8</v>
      </c>
      <c r="G809" s="43">
        <v>6.5</v>
      </c>
      <c r="H809" s="43">
        <v>4.5</v>
      </c>
      <c r="I809" s="43">
        <v>0</v>
      </c>
      <c r="J809" s="43">
        <v>0</v>
      </c>
      <c r="K809" s="1">
        <f t="shared" ref="K809" si="1838">(IF(F809="SELL",G809-H809,IF(F809="BUY",H809-G809)))*E809</f>
        <v>-2800</v>
      </c>
      <c r="L809" s="43">
        <v>0</v>
      </c>
      <c r="M809" s="43">
        <v>0</v>
      </c>
      <c r="N809" s="1">
        <f t="shared" si="1828"/>
        <v>-2</v>
      </c>
      <c r="O809" s="1">
        <f t="shared" si="1829"/>
        <v>-2800</v>
      </c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  <c r="AA809" s="31"/>
      <c r="AB809" s="31"/>
      <c r="AC809" s="31"/>
      <c r="AD809" s="31"/>
      <c r="AE809" s="31"/>
      <c r="AF809" s="31"/>
      <c r="AG809" s="31"/>
    </row>
    <row r="810" spans="1:33" s="32" customFormat="1" ht="15" customHeight="1">
      <c r="A810" s="37">
        <v>43945</v>
      </c>
      <c r="B810" s="20" t="s">
        <v>128</v>
      </c>
      <c r="C810" s="20" t="s">
        <v>47</v>
      </c>
      <c r="D810" s="20">
        <v>1300</v>
      </c>
      <c r="E810" s="38">
        <v>400</v>
      </c>
      <c r="F810" s="20" t="s">
        <v>8</v>
      </c>
      <c r="G810" s="43">
        <v>22</v>
      </c>
      <c r="H810" s="43">
        <v>15</v>
      </c>
      <c r="I810" s="43">
        <v>0</v>
      </c>
      <c r="J810" s="43">
        <v>0</v>
      </c>
      <c r="K810" s="1">
        <f t="shared" ref="K810" si="1839">(IF(F810="SELL",G810-H810,IF(F810="BUY",H810-G810)))*E810</f>
        <v>-2800</v>
      </c>
      <c r="L810" s="43">
        <v>0</v>
      </c>
      <c r="M810" s="43">
        <v>0</v>
      </c>
      <c r="N810" s="1">
        <f t="shared" si="1828"/>
        <v>-7</v>
      </c>
      <c r="O810" s="1">
        <f t="shared" si="1829"/>
        <v>-2800</v>
      </c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  <c r="AA810" s="31"/>
      <c r="AB810" s="31"/>
      <c r="AC810" s="31"/>
      <c r="AD810" s="31"/>
      <c r="AE810" s="31"/>
      <c r="AF810" s="31"/>
      <c r="AG810" s="31"/>
    </row>
    <row r="811" spans="1:33" s="32" customFormat="1" ht="15" customHeight="1">
      <c r="A811" s="37">
        <v>43944</v>
      </c>
      <c r="B811" s="20" t="s">
        <v>454</v>
      </c>
      <c r="C811" s="20" t="s">
        <v>47</v>
      </c>
      <c r="D811" s="20">
        <v>680</v>
      </c>
      <c r="E811" s="38">
        <v>700</v>
      </c>
      <c r="F811" s="20" t="s">
        <v>8</v>
      </c>
      <c r="G811" s="43">
        <v>24</v>
      </c>
      <c r="H811" s="43">
        <v>28</v>
      </c>
      <c r="I811" s="43">
        <v>0</v>
      </c>
      <c r="J811" s="43">
        <v>0</v>
      </c>
      <c r="K811" s="1">
        <f t="shared" ref="K811" si="1840">(IF(F811="SELL",G811-H811,IF(F811="BUY",H811-G811)))*E811</f>
        <v>2800</v>
      </c>
      <c r="L811" s="43">
        <v>0</v>
      </c>
      <c r="M811" s="43">
        <v>0</v>
      </c>
      <c r="N811" s="1">
        <f t="shared" si="1828"/>
        <v>4</v>
      </c>
      <c r="O811" s="1">
        <f t="shared" si="1829"/>
        <v>2800</v>
      </c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  <c r="AA811" s="31"/>
      <c r="AB811" s="31"/>
      <c r="AC811" s="31"/>
      <c r="AD811" s="31"/>
      <c r="AE811" s="31"/>
      <c r="AF811" s="31"/>
      <c r="AG811" s="31"/>
    </row>
    <row r="812" spans="1:33" s="32" customFormat="1" ht="15" customHeight="1">
      <c r="A812" s="37">
        <v>43944</v>
      </c>
      <c r="B812" s="20" t="s">
        <v>20</v>
      </c>
      <c r="C812" s="20" t="s">
        <v>47</v>
      </c>
      <c r="D812" s="20">
        <v>680</v>
      </c>
      <c r="E812" s="38">
        <v>1200</v>
      </c>
      <c r="F812" s="20" t="s">
        <v>8</v>
      </c>
      <c r="G812" s="43">
        <v>8.5</v>
      </c>
      <c r="H812" s="43">
        <v>10.5</v>
      </c>
      <c r="I812" s="43">
        <v>12.5</v>
      </c>
      <c r="J812" s="43">
        <v>15.5</v>
      </c>
      <c r="K812" s="1">
        <f t="shared" ref="K812" si="1841">(IF(F812="SELL",G812-H812,IF(F812="BUY",H812-G812)))*E812</f>
        <v>2400</v>
      </c>
      <c r="L812" s="43">
        <v>2400</v>
      </c>
      <c r="M812" s="43">
        <v>3600</v>
      </c>
      <c r="N812" s="1">
        <f t="shared" si="1828"/>
        <v>7</v>
      </c>
      <c r="O812" s="1">
        <f t="shared" si="1829"/>
        <v>8400</v>
      </c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  <c r="AA812" s="31"/>
      <c r="AB812" s="31"/>
      <c r="AC812" s="31"/>
      <c r="AD812" s="31"/>
      <c r="AE812" s="31"/>
      <c r="AF812" s="31"/>
      <c r="AG812" s="31"/>
    </row>
    <row r="813" spans="1:33" s="32" customFormat="1" ht="15" customHeight="1">
      <c r="A813" s="37">
        <v>43944</v>
      </c>
      <c r="B813" s="20" t="s">
        <v>428</v>
      </c>
      <c r="C813" s="20" t="s">
        <v>47</v>
      </c>
      <c r="D813" s="20">
        <v>420</v>
      </c>
      <c r="E813" s="38">
        <v>400</v>
      </c>
      <c r="F813" s="20" t="s">
        <v>8</v>
      </c>
      <c r="G813" s="43">
        <v>36</v>
      </c>
      <c r="H813" s="43">
        <v>29</v>
      </c>
      <c r="I813" s="43">
        <v>0</v>
      </c>
      <c r="J813" s="43">
        <v>0</v>
      </c>
      <c r="K813" s="1">
        <f t="shared" ref="K813" si="1842">(IF(F813="SELL",G813-H813,IF(F813="BUY",H813-G813)))*E813</f>
        <v>-2800</v>
      </c>
      <c r="L813" s="43">
        <v>0</v>
      </c>
      <c r="M813" s="43">
        <v>0</v>
      </c>
      <c r="N813" s="1">
        <f t="shared" si="1828"/>
        <v>-7</v>
      </c>
      <c r="O813" s="1">
        <f t="shared" si="1829"/>
        <v>-2800</v>
      </c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  <c r="AA813" s="31"/>
      <c r="AB813" s="31"/>
      <c r="AC813" s="31"/>
      <c r="AD813" s="31"/>
      <c r="AE813" s="31"/>
      <c r="AF813" s="31"/>
      <c r="AG813" s="31"/>
    </row>
    <row r="814" spans="1:33" s="32" customFormat="1" ht="15" customHeight="1">
      <c r="A814" s="37">
        <v>43943</v>
      </c>
      <c r="B814" s="20" t="s">
        <v>487</v>
      </c>
      <c r="C814" s="20" t="s">
        <v>47</v>
      </c>
      <c r="D814" s="20">
        <v>330</v>
      </c>
      <c r="E814" s="38">
        <v>2700</v>
      </c>
      <c r="F814" s="20" t="s">
        <v>8</v>
      </c>
      <c r="G814" s="43">
        <v>6.2</v>
      </c>
      <c r="H814" s="43">
        <v>7.2</v>
      </c>
      <c r="I814" s="43">
        <v>8.5</v>
      </c>
      <c r="J814" s="43">
        <v>10.5</v>
      </c>
      <c r="K814" s="1">
        <f t="shared" ref="K814" si="1843">(IF(F814="SELL",G814-H814,IF(F814="BUY",H814-G814)))*E814</f>
        <v>2700</v>
      </c>
      <c r="L814" s="43">
        <f>E814*1.3</f>
        <v>3510</v>
      </c>
      <c r="M814" s="43">
        <f>E814*2</f>
        <v>5400</v>
      </c>
      <c r="N814" s="1">
        <f t="shared" si="1828"/>
        <v>4.3</v>
      </c>
      <c r="O814" s="1">
        <f t="shared" si="1829"/>
        <v>11610</v>
      </c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1"/>
      <c r="AD814" s="31"/>
      <c r="AE814" s="31"/>
      <c r="AF814" s="31"/>
      <c r="AG814" s="31"/>
    </row>
    <row r="815" spans="1:33" s="32" customFormat="1" ht="15" customHeight="1">
      <c r="A815" s="37">
        <v>43943</v>
      </c>
      <c r="B815" s="20" t="s">
        <v>420</v>
      </c>
      <c r="C815" s="20" t="s">
        <v>47</v>
      </c>
      <c r="D815" s="20">
        <v>1800</v>
      </c>
      <c r="E815" s="38">
        <v>600</v>
      </c>
      <c r="F815" s="20" t="s">
        <v>8</v>
      </c>
      <c r="G815" s="43">
        <v>29</v>
      </c>
      <c r="H815" s="43">
        <v>35</v>
      </c>
      <c r="I815" s="43">
        <v>45</v>
      </c>
      <c r="J815" s="43">
        <v>55</v>
      </c>
      <c r="K815" s="1">
        <f t="shared" ref="K815" si="1844">(IF(F815="SELL",G815-H815,IF(F815="BUY",H815-G815)))*E815</f>
        <v>3600</v>
      </c>
      <c r="L815" s="43">
        <v>6000</v>
      </c>
      <c r="M815" s="43">
        <v>6000</v>
      </c>
      <c r="N815" s="1">
        <f t="shared" si="1828"/>
        <v>26</v>
      </c>
      <c r="O815" s="1">
        <f t="shared" si="1829"/>
        <v>15600</v>
      </c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1"/>
      <c r="AD815" s="31"/>
      <c r="AE815" s="31"/>
      <c r="AF815" s="31"/>
      <c r="AG815" s="31"/>
    </row>
    <row r="816" spans="1:33" s="32" customFormat="1" ht="15" customHeight="1">
      <c r="A816" s="37">
        <v>43943</v>
      </c>
      <c r="B816" s="20" t="s">
        <v>38</v>
      </c>
      <c r="C816" s="20" t="s">
        <v>47</v>
      </c>
      <c r="D816" s="20">
        <v>5400</v>
      </c>
      <c r="E816" s="38">
        <v>100</v>
      </c>
      <c r="F816" s="20" t="s">
        <v>8</v>
      </c>
      <c r="G816" s="43">
        <v>128</v>
      </c>
      <c r="H816" s="43">
        <v>105</v>
      </c>
      <c r="I816" s="43">
        <v>0</v>
      </c>
      <c r="J816" s="43">
        <v>0</v>
      </c>
      <c r="K816" s="1">
        <f t="shared" ref="K816" si="1845">(IF(F816="SELL",G816-H816,IF(F816="BUY",H816-G816)))*E816</f>
        <v>-2300</v>
      </c>
      <c r="L816" s="43">
        <v>0</v>
      </c>
      <c r="M816" s="43">
        <v>0</v>
      </c>
      <c r="N816" s="1">
        <f t="shared" si="1828"/>
        <v>-23</v>
      </c>
      <c r="O816" s="1">
        <f t="shared" si="1829"/>
        <v>-2300</v>
      </c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1"/>
      <c r="AD816" s="31"/>
      <c r="AE816" s="31"/>
      <c r="AF816" s="31"/>
      <c r="AG816" s="31"/>
    </row>
    <row r="817" spans="1:33" s="32" customFormat="1" ht="15" customHeight="1">
      <c r="A817" s="37">
        <v>43942</v>
      </c>
      <c r="B817" s="20" t="s">
        <v>454</v>
      </c>
      <c r="C817" s="20" t="s">
        <v>47</v>
      </c>
      <c r="D817" s="20">
        <v>900</v>
      </c>
      <c r="E817" s="38">
        <v>700</v>
      </c>
      <c r="F817" s="20" t="s">
        <v>8</v>
      </c>
      <c r="G817" s="43">
        <v>14</v>
      </c>
      <c r="H817" s="43">
        <v>21</v>
      </c>
      <c r="I817" s="43">
        <v>0</v>
      </c>
      <c r="J817" s="43">
        <v>0</v>
      </c>
      <c r="K817" s="1">
        <f t="shared" ref="K817" si="1846">(IF(F817="SELL",G817-H817,IF(F817="BUY",H817-G817)))*E817</f>
        <v>4900</v>
      </c>
      <c r="L817" s="43">
        <v>0</v>
      </c>
      <c r="M817" s="43">
        <v>0</v>
      </c>
      <c r="N817" s="1">
        <f t="shared" si="1828"/>
        <v>7</v>
      </c>
      <c r="O817" s="1">
        <f t="shared" si="1829"/>
        <v>4900</v>
      </c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  <c r="AA817" s="31"/>
      <c r="AB817" s="31"/>
      <c r="AC817" s="31"/>
      <c r="AD817" s="31"/>
      <c r="AE817" s="31"/>
      <c r="AF817" s="31"/>
      <c r="AG817" s="31"/>
    </row>
    <row r="818" spans="1:33" s="32" customFormat="1" ht="15" customHeight="1">
      <c r="A818" s="37">
        <v>43942</v>
      </c>
      <c r="B818" s="20" t="s">
        <v>471</v>
      </c>
      <c r="C818" s="20" t="s">
        <v>47</v>
      </c>
      <c r="D818" s="20">
        <v>660</v>
      </c>
      <c r="E818" s="38">
        <v>1000</v>
      </c>
      <c r="F818" s="20" t="s">
        <v>8</v>
      </c>
      <c r="G818" s="43">
        <v>9</v>
      </c>
      <c r="H818" s="43">
        <v>13</v>
      </c>
      <c r="I818" s="43">
        <v>17</v>
      </c>
      <c r="J818" s="43">
        <v>23</v>
      </c>
      <c r="K818" s="1">
        <f t="shared" ref="K818" si="1847">(IF(F818="SELL",G818-H818,IF(F818="BUY",H818-G818)))*E818</f>
        <v>4000</v>
      </c>
      <c r="L818" s="43">
        <v>4000</v>
      </c>
      <c r="M818" s="43">
        <v>6000</v>
      </c>
      <c r="N818" s="1">
        <f t="shared" si="1828"/>
        <v>14</v>
      </c>
      <c r="O818" s="1">
        <f t="shared" si="1829"/>
        <v>14000</v>
      </c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  <c r="AA818" s="31"/>
      <c r="AB818" s="31"/>
      <c r="AC818" s="31"/>
      <c r="AD818" s="31"/>
      <c r="AE818" s="31"/>
      <c r="AF818" s="31"/>
      <c r="AG818" s="31"/>
    </row>
    <row r="819" spans="1:33" s="32" customFormat="1" ht="15" customHeight="1">
      <c r="A819" s="37">
        <v>43941</v>
      </c>
      <c r="B819" s="20" t="s">
        <v>24</v>
      </c>
      <c r="C819" s="20" t="s">
        <v>47</v>
      </c>
      <c r="D819" s="20">
        <v>90</v>
      </c>
      <c r="E819" s="38">
        <v>4300</v>
      </c>
      <c r="F819" s="20" t="s">
        <v>8</v>
      </c>
      <c r="G819" s="43">
        <v>2.8</v>
      </c>
      <c r="H819" s="43">
        <v>3.5</v>
      </c>
      <c r="I819" s="43">
        <v>36.450000000000003</v>
      </c>
      <c r="J819" s="43">
        <v>0</v>
      </c>
      <c r="K819" s="1">
        <f t="shared" ref="K819" si="1848">(IF(F819="SELL",G819-H819,IF(F819="BUY",H819-G819)))*E819</f>
        <v>3010.0000000000009</v>
      </c>
      <c r="L819" s="43">
        <f>E819*3.45</f>
        <v>14835</v>
      </c>
      <c r="M819" s="43">
        <v>0</v>
      </c>
      <c r="N819" s="1">
        <f t="shared" si="1828"/>
        <v>4.1500000000000004</v>
      </c>
      <c r="O819" s="1">
        <f t="shared" si="1829"/>
        <v>17845</v>
      </c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  <c r="AA819" s="31"/>
      <c r="AB819" s="31"/>
      <c r="AC819" s="31"/>
      <c r="AD819" s="31"/>
      <c r="AE819" s="31"/>
      <c r="AF819" s="31"/>
      <c r="AG819" s="31"/>
    </row>
    <row r="820" spans="1:33" s="32" customFormat="1" ht="15" customHeight="1">
      <c r="A820" s="37">
        <v>43941</v>
      </c>
      <c r="B820" s="20" t="s">
        <v>474</v>
      </c>
      <c r="C820" s="20" t="s">
        <v>47</v>
      </c>
      <c r="D820" s="20">
        <v>400</v>
      </c>
      <c r="E820" s="38">
        <v>2300</v>
      </c>
      <c r="F820" s="20" t="s">
        <v>8</v>
      </c>
      <c r="G820" s="43">
        <v>8.3000000000000007</v>
      </c>
      <c r="H820" s="43">
        <v>9.5</v>
      </c>
      <c r="I820" s="43">
        <v>0</v>
      </c>
      <c r="J820" s="43">
        <v>0</v>
      </c>
      <c r="K820" s="1">
        <f t="shared" ref="K820" si="1849">(IF(F820="SELL",G820-H820,IF(F820="BUY",H820-G820)))*E820</f>
        <v>2759.9999999999982</v>
      </c>
      <c r="L820" s="43">
        <v>0</v>
      </c>
      <c r="M820" s="43">
        <v>0</v>
      </c>
      <c r="N820" s="1">
        <f t="shared" si="1828"/>
        <v>1.1999999999999993</v>
      </c>
      <c r="O820" s="1">
        <f t="shared" si="1829"/>
        <v>2759.9999999999982</v>
      </c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  <c r="AA820" s="31"/>
      <c r="AB820" s="31"/>
      <c r="AC820" s="31"/>
      <c r="AD820" s="31"/>
      <c r="AE820" s="31"/>
      <c r="AF820" s="31"/>
      <c r="AG820" s="31"/>
    </row>
    <row r="821" spans="1:33" s="32" customFormat="1" ht="15" customHeight="1">
      <c r="A821" s="37">
        <v>43938</v>
      </c>
      <c r="B821" s="20" t="s">
        <v>453</v>
      </c>
      <c r="C821" s="20" t="s">
        <v>47</v>
      </c>
      <c r="D821" s="20">
        <v>700</v>
      </c>
      <c r="E821" s="38">
        <v>1100</v>
      </c>
      <c r="F821" s="20" t="s">
        <v>8</v>
      </c>
      <c r="G821" s="43">
        <v>30</v>
      </c>
      <c r="H821" s="43">
        <v>33</v>
      </c>
      <c r="I821" s="43">
        <v>36.450000000000003</v>
      </c>
      <c r="J821" s="43">
        <v>0</v>
      </c>
      <c r="K821" s="1">
        <f t="shared" ref="K821:K827" si="1850">(IF(F821="SELL",G821-H821,IF(F821="BUY",H821-G821)))*E821</f>
        <v>3300</v>
      </c>
      <c r="L821" s="43">
        <f>E821*3.45</f>
        <v>3795</v>
      </c>
      <c r="M821" s="43">
        <v>0</v>
      </c>
      <c r="N821" s="1">
        <f t="shared" si="1828"/>
        <v>6.45</v>
      </c>
      <c r="O821" s="1">
        <f t="shared" si="1829"/>
        <v>7095</v>
      </c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  <c r="AA821" s="31"/>
      <c r="AB821" s="31"/>
      <c r="AC821" s="31"/>
      <c r="AD821" s="31"/>
      <c r="AE821" s="31"/>
      <c r="AF821" s="31"/>
      <c r="AG821" s="31"/>
    </row>
    <row r="822" spans="1:33" s="32" customFormat="1" ht="15" customHeight="1">
      <c r="A822" s="37">
        <v>43938</v>
      </c>
      <c r="B822" s="20" t="s">
        <v>69</v>
      </c>
      <c r="C822" s="20" t="s">
        <v>47</v>
      </c>
      <c r="D822" s="20">
        <v>110</v>
      </c>
      <c r="E822" s="38">
        <v>5000</v>
      </c>
      <c r="F822" s="20" t="s">
        <v>8</v>
      </c>
      <c r="G822" s="43">
        <v>1.7</v>
      </c>
      <c r="H822" s="43">
        <v>2.15</v>
      </c>
      <c r="I822" s="43">
        <v>0</v>
      </c>
      <c r="J822" s="43">
        <v>0</v>
      </c>
      <c r="K822" s="1">
        <f t="shared" si="1850"/>
        <v>2250</v>
      </c>
      <c r="L822" s="43">
        <v>0</v>
      </c>
      <c r="M822" s="43">
        <v>0</v>
      </c>
      <c r="N822" s="1">
        <f t="shared" si="1828"/>
        <v>0.45</v>
      </c>
      <c r="O822" s="1">
        <f t="shared" si="1829"/>
        <v>2250</v>
      </c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  <c r="AA822" s="31"/>
      <c r="AB822" s="31"/>
      <c r="AC822" s="31"/>
      <c r="AD822" s="31"/>
      <c r="AE822" s="31"/>
      <c r="AF822" s="31"/>
      <c r="AG822" s="31"/>
    </row>
    <row r="823" spans="1:33" s="32" customFormat="1" ht="15" customHeight="1">
      <c r="A823" s="37">
        <v>43938</v>
      </c>
      <c r="B823" s="20" t="s">
        <v>38</v>
      </c>
      <c r="C823" s="20" t="s">
        <v>47</v>
      </c>
      <c r="D823" s="20">
        <v>5800</v>
      </c>
      <c r="E823" s="38">
        <v>100</v>
      </c>
      <c r="F823" s="20" t="s">
        <v>8</v>
      </c>
      <c r="G823" s="43">
        <v>112</v>
      </c>
      <c r="H823" s="43">
        <v>128</v>
      </c>
      <c r="I823" s="43">
        <v>148</v>
      </c>
      <c r="J823" s="43">
        <v>168</v>
      </c>
      <c r="K823" s="1">
        <f t="shared" si="1850"/>
        <v>1600</v>
      </c>
      <c r="L823" s="43">
        <v>2000</v>
      </c>
      <c r="M823" s="43">
        <v>2000</v>
      </c>
      <c r="N823" s="1">
        <f t="shared" si="1828"/>
        <v>56</v>
      </c>
      <c r="O823" s="1">
        <f t="shared" si="1829"/>
        <v>5600</v>
      </c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  <c r="AA823" s="31"/>
      <c r="AB823" s="31"/>
      <c r="AC823" s="31"/>
      <c r="AD823" s="31"/>
      <c r="AE823" s="31"/>
      <c r="AF823" s="31"/>
      <c r="AG823" s="31"/>
    </row>
    <row r="824" spans="1:33" s="32" customFormat="1" ht="15" customHeight="1">
      <c r="A824" s="37">
        <v>43938</v>
      </c>
      <c r="B824" s="20" t="s">
        <v>369</v>
      </c>
      <c r="C824" s="20" t="s">
        <v>46</v>
      </c>
      <c r="D824" s="20">
        <v>80</v>
      </c>
      <c r="E824" s="38">
        <v>2600</v>
      </c>
      <c r="F824" s="20" t="s">
        <v>8</v>
      </c>
      <c r="G824" s="43">
        <v>4.8</v>
      </c>
      <c r="H824" s="43">
        <v>4.8</v>
      </c>
      <c r="I824" s="43">
        <v>0</v>
      </c>
      <c r="J824" s="43">
        <v>0</v>
      </c>
      <c r="K824" s="1">
        <f t="shared" si="1850"/>
        <v>0</v>
      </c>
      <c r="L824" s="43">
        <v>0</v>
      </c>
      <c r="M824" s="43">
        <v>0</v>
      </c>
      <c r="N824" s="1">
        <f t="shared" si="1828"/>
        <v>0</v>
      </c>
      <c r="O824" s="1">
        <f t="shared" si="1829"/>
        <v>0</v>
      </c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1"/>
      <c r="AD824" s="31"/>
      <c r="AE824" s="31"/>
      <c r="AF824" s="31"/>
      <c r="AG824" s="31"/>
    </row>
    <row r="825" spans="1:33" s="32" customFormat="1" ht="15" customHeight="1">
      <c r="A825" s="37">
        <v>43937</v>
      </c>
      <c r="B825" s="20" t="s">
        <v>413</v>
      </c>
      <c r="C825" s="20" t="s">
        <v>47</v>
      </c>
      <c r="D825" s="20">
        <v>160</v>
      </c>
      <c r="E825" s="38">
        <v>1200</v>
      </c>
      <c r="F825" s="20" t="s">
        <v>8</v>
      </c>
      <c r="G825" s="43">
        <v>4.5</v>
      </c>
      <c r="H825" s="43">
        <v>6.25</v>
      </c>
      <c r="I825" s="43">
        <v>0</v>
      </c>
      <c r="J825" s="43">
        <v>0</v>
      </c>
      <c r="K825" s="1">
        <f t="shared" si="1850"/>
        <v>2100</v>
      </c>
      <c r="L825" s="43">
        <v>0</v>
      </c>
      <c r="M825" s="43">
        <v>0</v>
      </c>
      <c r="N825" s="1">
        <f t="shared" si="1828"/>
        <v>1.75</v>
      </c>
      <c r="O825" s="1">
        <f t="shared" si="1829"/>
        <v>2100</v>
      </c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1"/>
      <c r="AD825" s="31"/>
      <c r="AE825" s="31"/>
      <c r="AF825" s="31"/>
      <c r="AG825" s="31"/>
    </row>
    <row r="826" spans="1:33" s="32" customFormat="1" ht="15" customHeight="1">
      <c r="A826" s="37">
        <v>43937</v>
      </c>
      <c r="B826" s="20" t="s">
        <v>406</v>
      </c>
      <c r="C826" s="20" t="s">
        <v>47</v>
      </c>
      <c r="D826" s="20">
        <v>520</v>
      </c>
      <c r="E826" s="38">
        <v>1200</v>
      </c>
      <c r="F826" s="20" t="s">
        <v>8</v>
      </c>
      <c r="G826" s="43">
        <v>17.2</v>
      </c>
      <c r="H826" s="43">
        <v>15</v>
      </c>
      <c r="I826" s="43">
        <v>0</v>
      </c>
      <c r="J826" s="43">
        <v>0</v>
      </c>
      <c r="K826" s="1">
        <f t="shared" si="1850"/>
        <v>-2639.9999999999991</v>
      </c>
      <c r="L826" s="43">
        <v>0</v>
      </c>
      <c r="M826" s="43">
        <v>0</v>
      </c>
      <c r="N826" s="1">
        <f t="shared" si="1828"/>
        <v>-2.1999999999999993</v>
      </c>
      <c r="O826" s="1">
        <f t="shared" si="1829"/>
        <v>-2639.9999999999991</v>
      </c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1"/>
      <c r="AD826" s="31"/>
      <c r="AE826" s="31"/>
      <c r="AF826" s="31"/>
      <c r="AG826" s="31"/>
    </row>
    <row r="827" spans="1:33" s="32" customFormat="1" ht="15" customHeight="1">
      <c r="A827" s="37">
        <v>43936</v>
      </c>
      <c r="B827" s="20" t="s">
        <v>21</v>
      </c>
      <c r="C827" s="20" t="s">
        <v>425</v>
      </c>
      <c r="D827" s="20">
        <v>150</v>
      </c>
      <c r="E827" s="38">
        <v>3000</v>
      </c>
      <c r="F827" s="20" t="s">
        <v>8</v>
      </c>
      <c r="G827" s="43">
        <v>2.5</v>
      </c>
      <c r="H827" s="43">
        <v>2.95</v>
      </c>
      <c r="I827" s="43">
        <v>0</v>
      </c>
      <c r="J827" s="43">
        <v>0</v>
      </c>
      <c r="K827" s="1">
        <f t="shared" si="1850"/>
        <v>1350.0000000000005</v>
      </c>
      <c r="L827" s="43">
        <v>0</v>
      </c>
      <c r="M827" s="43">
        <v>0</v>
      </c>
      <c r="N827" s="1">
        <f t="shared" si="1828"/>
        <v>0.45000000000000018</v>
      </c>
      <c r="O827" s="1">
        <f t="shared" si="1829"/>
        <v>1350.0000000000005</v>
      </c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  <c r="AA827" s="31"/>
      <c r="AB827" s="31"/>
      <c r="AC827" s="31"/>
      <c r="AD827" s="31"/>
      <c r="AE827" s="31"/>
      <c r="AF827" s="31"/>
      <c r="AG827" s="31"/>
    </row>
    <row r="828" spans="1:33" s="32" customFormat="1" ht="15" customHeight="1">
      <c r="A828" s="37">
        <v>43936</v>
      </c>
      <c r="B828" s="20" t="s">
        <v>17</v>
      </c>
      <c r="C828" s="20" t="s">
        <v>47</v>
      </c>
      <c r="D828" s="20">
        <v>520</v>
      </c>
      <c r="E828" s="38">
        <v>1200</v>
      </c>
      <c r="F828" s="20" t="s">
        <v>8</v>
      </c>
      <c r="G828" s="43">
        <v>12</v>
      </c>
      <c r="H828" s="43">
        <v>9</v>
      </c>
      <c r="I828" s="43">
        <v>0</v>
      </c>
      <c r="J828" s="43">
        <v>0</v>
      </c>
      <c r="K828" s="1">
        <f t="shared" ref="K828:K829" si="1851">(IF(F828="SELL",G828-H828,IF(F828="BUY",H828-G828)))*E828</f>
        <v>-3600</v>
      </c>
      <c r="L828" s="43">
        <v>0</v>
      </c>
      <c r="M828" s="43">
        <v>0</v>
      </c>
      <c r="N828" s="1">
        <f t="shared" si="1828"/>
        <v>-3</v>
      </c>
      <c r="O828" s="1">
        <f t="shared" si="1829"/>
        <v>-3600</v>
      </c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  <c r="AA828" s="31"/>
      <c r="AB828" s="31"/>
      <c r="AC828" s="31"/>
      <c r="AD828" s="31"/>
      <c r="AE828" s="31"/>
      <c r="AF828" s="31"/>
      <c r="AG828" s="31"/>
    </row>
    <row r="829" spans="1:33" s="32" customFormat="1" ht="15" customHeight="1">
      <c r="A829" s="37">
        <v>43936</v>
      </c>
      <c r="B829" s="20" t="s">
        <v>18</v>
      </c>
      <c r="C829" s="20" t="s">
        <v>47</v>
      </c>
      <c r="D829" s="20">
        <v>670</v>
      </c>
      <c r="E829" s="38">
        <v>1150</v>
      </c>
      <c r="F829" s="20" t="s">
        <v>8</v>
      </c>
      <c r="G829" s="43">
        <v>24</v>
      </c>
      <c r="H829" s="43">
        <v>20</v>
      </c>
      <c r="I829" s="43">
        <v>0</v>
      </c>
      <c r="J829" s="43">
        <v>0</v>
      </c>
      <c r="K829" s="1">
        <f t="shared" si="1851"/>
        <v>-4600</v>
      </c>
      <c r="L829" s="43">
        <v>0</v>
      </c>
      <c r="M829" s="43">
        <v>0</v>
      </c>
      <c r="N829" s="1">
        <f t="shared" si="1828"/>
        <v>-4</v>
      </c>
      <c r="O829" s="1">
        <f t="shared" si="1829"/>
        <v>-4600</v>
      </c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  <c r="AA829" s="31"/>
      <c r="AB829" s="31"/>
      <c r="AC829" s="31"/>
      <c r="AD829" s="31"/>
      <c r="AE829" s="31"/>
      <c r="AF829" s="31"/>
      <c r="AG829" s="31"/>
    </row>
    <row r="830" spans="1:33" s="32" customFormat="1" ht="15" customHeight="1">
      <c r="A830" s="37">
        <v>43934</v>
      </c>
      <c r="B830" s="20" t="s">
        <v>175</v>
      </c>
      <c r="C830" s="20" t="s">
        <v>46</v>
      </c>
      <c r="D830" s="20">
        <v>1800</v>
      </c>
      <c r="E830" s="38">
        <v>250</v>
      </c>
      <c r="F830" s="20" t="s">
        <v>8</v>
      </c>
      <c r="G830" s="43">
        <v>35</v>
      </c>
      <c r="H830" s="43">
        <v>43</v>
      </c>
      <c r="I830" s="43">
        <v>49.6</v>
      </c>
      <c r="J830" s="43">
        <v>0</v>
      </c>
      <c r="K830" s="1">
        <f t="shared" ref="K830" si="1852">(IF(F830="SELL",G830-H830,IF(F830="BUY",H830-G830)))*E830</f>
        <v>2000</v>
      </c>
      <c r="L830" s="43">
        <f>E830*6.3</f>
        <v>1575</v>
      </c>
      <c r="M830" s="43">
        <v>0</v>
      </c>
      <c r="N830" s="1">
        <f t="shared" si="1828"/>
        <v>14.3</v>
      </c>
      <c r="O830" s="1">
        <f t="shared" si="1829"/>
        <v>3575</v>
      </c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  <c r="AA830" s="31"/>
      <c r="AB830" s="31"/>
      <c r="AC830" s="31"/>
      <c r="AD830" s="31"/>
      <c r="AE830" s="31"/>
      <c r="AF830" s="31"/>
      <c r="AG830" s="31"/>
    </row>
    <row r="831" spans="1:33" s="32" customFormat="1" ht="15" customHeight="1">
      <c r="A831" s="37">
        <v>43934</v>
      </c>
      <c r="B831" s="20" t="s">
        <v>37</v>
      </c>
      <c r="C831" s="20" t="s">
        <v>47</v>
      </c>
      <c r="D831" s="20">
        <v>2000</v>
      </c>
      <c r="E831" s="38">
        <v>250</v>
      </c>
      <c r="F831" s="20" t="s">
        <v>8</v>
      </c>
      <c r="G831" s="43">
        <v>27</v>
      </c>
      <c r="H831" s="43">
        <v>27</v>
      </c>
      <c r="I831" s="43">
        <v>0</v>
      </c>
      <c r="J831" s="43">
        <v>0</v>
      </c>
      <c r="K831" s="1">
        <f t="shared" ref="K831" si="1853">(IF(F831="SELL",G831-H831,IF(F831="BUY",H831-G831)))*E831</f>
        <v>0</v>
      </c>
      <c r="L831" s="43">
        <v>0</v>
      </c>
      <c r="M831" s="43">
        <v>0</v>
      </c>
      <c r="N831" s="1">
        <f t="shared" si="1828"/>
        <v>0</v>
      </c>
      <c r="O831" s="1">
        <f t="shared" si="1829"/>
        <v>0</v>
      </c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  <c r="AA831" s="31"/>
      <c r="AB831" s="31"/>
      <c r="AC831" s="31"/>
      <c r="AD831" s="31"/>
      <c r="AE831" s="31"/>
      <c r="AF831" s="31"/>
      <c r="AG831" s="31"/>
    </row>
    <row r="832" spans="1:33" s="32" customFormat="1" ht="15" customHeight="1">
      <c r="A832" s="37">
        <v>43930</v>
      </c>
      <c r="B832" s="20" t="s">
        <v>24</v>
      </c>
      <c r="C832" s="20" t="s">
        <v>47</v>
      </c>
      <c r="D832" s="20">
        <v>85</v>
      </c>
      <c r="E832" s="38">
        <v>4300</v>
      </c>
      <c r="F832" s="20" t="s">
        <v>8</v>
      </c>
      <c r="G832" s="43">
        <v>3</v>
      </c>
      <c r="H832" s="43">
        <v>3.8</v>
      </c>
      <c r="I832" s="43">
        <v>4.8</v>
      </c>
      <c r="J832" s="43">
        <v>0</v>
      </c>
      <c r="K832" s="1">
        <f t="shared" ref="K832" si="1854">(IF(F832="SELL",G832-H832,IF(F832="BUY",H832-G832)))*E832</f>
        <v>3439.9999999999991</v>
      </c>
      <c r="L832" s="43">
        <v>4300</v>
      </c>
      <c r="M832" s="43">
        <v>0</v>
      </c>
      <c r="N832" s="1">
        <f t="shared" si="1828"/>
        <v>1.7999999999999998</v>
      </c>
      <c r="O832" s="1">
        <f t="shared" si="1829"/>
        <v>7739.9999999999991</v>
      </c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  <c r="AA832" s="31"/>
      <c r="AB832" s="31"/>
      <c r="AC832" s="31"/>
      <c r="AD832" s="31"/>
      <c r="AE832" s="31"/>
      <c r="AF832" s="31"/>
      <c r="AG832" s="31"/>
    </row>
    <row r="833" spans="1:33" s="32" customFormat="1" ht="15" customHeight="1">
      <c r="A833" s="37">
        <v>43930</v>
      </c>
      <c r="B833" s="20" t="s">
        <v>175</v>
      </c>
      <c r="C833" s="20" t="s">
        <v>47</v>
      </c>
      <c r="D833" s="20">
        <v>3000</v>
      </c>
      <c r="E833" s="38">
        <v>250</v>
      </c>
      <c r="F833" s="20" t="s">
        <v>8</v>
      </c>
      <c r="G833" s="43">
        <v>63</v>
      </c>
      <c r="H833" s="43">
        <v>67</v>
      </c>
      <c r="I833" s="43">
        <v>0</v>
      </c>
      <c r="J833" s="43">
        <v>0</v>
      </c>
      <c r="K833" s="1">
        <f t="shared" ref="K833" si="1855">(IF(F833="SELL",G833-H833,IF(F833="BUY",H833-G833)))*E833</f>
        <v>1000</v>
      </c>
      <c r="L833" s="43">
        <v>0</v>
      </c>
      <c r="M833" s="43">
        <v>0</v>
      </c>
      <c r="N833" s="1">
        <f t="shared" si="1828"/>
        <v>4</v>
      </c>
      <c r="O833" s="1">
        <f t="shared" si="1829"/>
        <v>1000</v>
      </c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  <c r="AA833" s="31"/>
      <c r="AB833" s="31"/>
      <c r="AC833" s="31"/>
      <c r="AD833" s="31"/>
      <c r="AE833" s="31"/>
      <c r="AF833" s="31"/>
      <c r="AG833" s="31"/>
    </row>
    <row r="834" spans="1:33" s="32" customFormat="1" ht="15" customHeight="1">
      <c r="A834" s="37">
        <v>43930</v>
      </c>
      <c r="B834" s="20" t="s">
        <v>391</v>
      </c>
      <c r="C834" s="20" t="s">
        <v>47</v>
      </c>
      <c r="D834" s="20">
        <v>560</v>
      </c>
      <c r="E834" s="38">
        <v>1250</v>
      </c>
      <c r="F834" s="20" t="s">
        <v>8</v>
      </c>
      <c r="G834" s="43">
        <v>11</v>
      </c>
      <c r="H834" s="43">
        <v>9</v>
      </c>
      <c r="I834" s="43">
        <v>0</v>
      </c>
      <c r="J834" s="43">
        <v>0</v>
      </c>
      <c r="K834" s="1">
        <f t="shared" ref="K834" si="1856">(IF(F834="SELL",G834-H834,IF(F834="BUY",H834-G834)))*E834</f>
        <v>-2500</v>
      </c>
      <c r="L834" s="43">
        <v>0</v>
      </c>
      <c r="M834" s="43">
        <v>0</v>
      </c>
      <c r="N834" s="1">
        <f t="shared" si="1828"/>
        <v>-2</v>
      </c>
      <c r="O834" s="1">
        <f t="shared" si="1829"/>
        <v>-2500</v>
      </c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1"/>
      <c r="AD834" s="31"/>
      <c r="AE834" s="31"/>
      <c r="AF834" s="31"/>
      <c r="AG834" s="31"/>
    </row>
    <row r="835" spans="1:33" s="32" customFormat="1" ht="15" customHeight="1">
      <c r="A835" s="37">
        <v>43929</v>
      </c>
      <c r="B835" s="20" t="s">
        <v>428</v>
      </c>
      <c r="C835" s="20" t="s">
        <v>47</v>
      </c>
      <c r="D835" s="20">
        <v>600</v>
      </c>
      <c r="E835" s="38">
        <v>400</v>
      </c>
      <c r="F835" s="20" t="s">
        <v>8</v>
      </c>
      <c r="G835" s="43">
        <v>17</v>
      </c>
      <c r="H835" s="43">
        <v>23</v>
      </c>
      <c r="I835" s="43">
        <v>32.950000000000003</v>
      </c>
      <c r="J835" s="43">
        <v>20.9</v>
      </c>
      <c r="K835" s="1">
        <f t="shared" ref="K835" si="1857">(IF(F835="SELL",G835-H835,IF(F835="BUY",H835-G835)))*E835</f>
        <v>2400</v>
      </c>
      <c r="L835" s="43">
        <f>E835*9.95</f>
        <v>3979.9999999999995</v>
      </c>
      <c r="M835" s="43">
        <v>0</v>
      </c>
      <c r="N835" s="1">
        <f t="shared" si="1828"/>
        <v>15.95</v>
      </c>
      <c r="O835" s="1">
        <f t="shared" si="1829"/>
        <v>6380</v>
      </c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  <c r="AB835" s="31"/>
      <c r="AC835" s="31"/>
      <c r="AD835" s="31"/>
      <c r="AE835" s="31"/>
      <c r="AF835" s="31"/>
      <c r="AG835" s="31"/>
    </row>
    <row r="836" spans="1:33" s="32" customFormat="1" ht="15" customHeight="1">
      <c r="A836" s="37">
        <v>43929</v>
      </c>
      <c r="B836" s="20" t="s">
        <v>122</v>
      </c>
      <c r="C836" s="20" t="s">
        <v>47</v>
      </c>
      <c r="D836" s="20">
        <v>1900</v>
      </c>
      <c r="E836" s="38">
        <v>250</v>
      </c>
      <c r="F836" s="20" t="s">
        <v>8</v>
      </c>
      <c r="G836" s="43">
        <v>25</v>
      </c>
      <c r="H836" s="43">
        <v>32.75</v>
      </c>
      <c r="I836" s="43">
        <v>18.5</v>
      </c>
      <c r="J836" s="43">
        <v>0</v>
      </c>
      <c r="K836" s="1">
        <f t="shared" ref="K836" si="1858">(IF(F836="SELL",G836-H836,IF(F836="BUY",H836-G836)))*E836</f>
        <v>1937.5</v>
      </c>
      <c r="L836" s="43">
        <v>0</v>
      </c>
      <c r="M836" s="43">
        <v>0</v>
      </c>
      <c r="N836" s="1">
        <f t="shared" si="1828"/>
        <v>7.75</v>
      </c>
      <c r="O836" s="1">
        <f t="shared" si="1829"/>
        <v>1937.5</v>
      </c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1"/>
      <c r="AD836" s="31"/>
      <c r="AE836" s="31"/>
      <c r="AF836" s="31"/>
      <c r="AG836" s="31"/>
    </row>
    <row r="837" spans="1:33" s="32" customFormat="1" ht="15" customHeight="1">
      <c r="A837" s="37">
        <v>43928</v>
      </c>
      <c r="B837" s="20" t="s">
        <v>39</v>
      </c>
      <c r="C837" s="20" t="s">
        <v>47</v>
      </c>
      <c r="D837" s="20">
        <v>1360</v>
      </c>
      <c r="E837" s="38">
        <v>500</v>
      </c>
      <c r="F837" s="20" t="s">
        <v>8</v>
      </c>
      <c r="G837" s="43">
        <v>11.5</v>
      </c>
      <c r="H837" s="43">
        <v>14.5</v>
      </c>
      <c r="I837" s="43">
        <v>18.5</v>
      </c>
      <c r="J837" s="43">
        <v>20.9</v>
      </c>
      <c r="K837" s="1">
        <f t="shared" ref="K837" si="1859">(IF(F837="SELL",G837-H837,IF(F837="BUY",H837-G837)))*E837</f>
        <v>1500</v>
      </c>
      <c r="L837" s="43">
        <v>2000</v>
      </c>
      <c r="M837" s="43">
        <f>500*2.4</f>
        <v>1200</v>
      </c>
      <c r="N837" s="1">
        <f t="shared" si="1828"/>
        <v>9.4</v>
      </c>
      <c r="O837" s="1">
        <f t="shared" si="1829"/>
        <v>4700</v>
      </c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  <c r="AA837" s="31"/>
      <c r="AB837" s="31"/>
      <c r="AC837" s="31"/>
      <c r="AD837" s="31"/>
      <c r="AE837" s="31"/>
      <c r="AF837" s="31"/>
      <c r="AG837" s="31"/>
    </row>
    <row r="838" spans="1:33" s="32" customFormat="1" ht="15" customHeight="1">
      <c r="A838" s="37">
        <v>43928</v>
      </c>
      <c r="B838" s="20" t="s">
        <v>446</v>
      </c>
      <c r="C838" s="20" t="s">
        <v>47</v>
      </c>
      <c r="D838" s="20">
        <v>2400</v>
      </c>
      <c r="E838" s="38">
        <v>300</v>
      </c>
      <c r="F838" s="20" t="s">
        <v>8</v>
      </c>
      <c r="G838" s="43">
        <v>55</v>
      </c>
      <c r="H838" s="43">
        <v>65</v>
      </c>
      <c r="I838" s="43">
        <v>75</v>
      </c>
      <c r="J838" s="43">
        <v>90</v>
      </c>
      <c r="K838" s="1">
        <f t="shared" ref="K838" si="1860">(IF(F838="SELL",G838-H838,IF(F838="BUY",H838-G838)))*E838</f>
        <v>3000</v>
      </c>
      <c r="L838" s="43">
        <v>3000</v>
      </c>
      <c r="M838" s="43">
        <f>300*15</f>
        <v>4500</v>
      </c>
      <c r="N838" s="1">
        <f t="shared" si="1828"/>
        <v>35</v>
      </c>
      <c r="O838" s="1">
        <f t="shared" si="1829"/>
        <v>10500</v>
      </c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  <c r="AA838" s="31"/>
      <c r="AB838" s="31"/>
      <c r="AC838" s="31"/>
      <c r="AD838" s="31"/>
      <c r="AE838" s="31"/>
      <c r="AF838" s="31"/>
      <c r="AG838" s="31"/>
    </row>
    <row r="839" spans="1:33" s="32" customFormat="1" ht="15" customHeight="1">
      <c r="A839" s="37">
        <v>43928</v>
      </c>
      <c r="B839" s="20" t="s">
        <v>60</v>
      </c>
      <c r="C839" s="20" t="s">
        <v>46</v>
      </c>
      <c r="D839" s="20">
        <v>60</v>
      </c>
      <c r="E839" s="38">
        <v>3500</v>
      </c>
      <c r="F839" s="20" t="s">
        <v>8</v>
      </c>
      <c r="G839" s="43">
        <v>3.5</v>
      </c>
      <c r="H839" s="43">
        <v>3.5</v>
      </c>
      <c r="I839" s="43">
        <v>0</v>
      </c>
      <c r="J839" s="43">
        <v>0</v>
      </c>
      <c r="K839" s="1">
        <f t="shared" ref="K839" si="1861">(IF(F839="SELL",G839-H839,IF(F839="BUY",H839-G839)))*E839</f>
        <v>0</v>
      </c>
      <c r="L839" s="43">
        <v>0</v>
      </c>
      <c r="M839" s="43">
        <v>0</v>
      </c>
      <c r="N839" s="1">
        <f t="shared" si="1828"/>
        <v>0</v>
      </c>
      <c r="O839" s="1">
        <f t="shared" si="1829"/>
        <v>0</v>
      </c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  <c r="AA839" s="31"/>
      <c r="AB839" s="31"/>
      <c r="AC839" s="31"/>
      <c r="AD839" s="31"/>
      <c r="AE839" s="31"/>
      <c r="AF839" s="31"/>
      <c r="AG839" s="31"/>
    </row>
    <row r="840" spans="1:33" s="32" customFormat="1" ht="15" customHeight="1">
      <c r="A840" s="37">
        <v>43924</v>
      </c>
      <c r="B840" s="20" t="s">
        <v>471</v>
      </c>
      <c r="C840" s="20" t="s">
        <v>47</v>
      </c>
      <c r="D840" s="20">
        <v>500</v>
      </c>
      <c r="E840" s="38">
        <v>1000</v>
      </c>
      <c r="F840" s="20" t="s">
        <v>8</v>
      </c>
      <c r="G840" s="43">
        <v>5.5</v>
      </c>
      <c r="H840" s="43">
        <v>7.5</v>
      </c>
      <c r="I840" s="43">
        <v>9.5</v>
      </c>
      <c r="J840" s="43">
        <v>11.5</v>
      </c>
      <c r="K840" s="1">
        <f t="shared" ref="K840" si="1862">(IF(F840="SELL",G840-H840,IF(F840="BUY",H840-G840)))*E840</f>
        <v>2000</v>
      </c>
      <c r="L840" s="43">
        <f>E840*2</f>
        <v>2000</v>
      </c>
      <c r="M840" s="43">
        <f>E840*2</f>
        <v>2000</v>
      </c>
      <c r="N840" s="1">
        <f t="shared" si="1828"/>
        <v>6</v>
      </c>
      <c r="O840" s="1">
        <f t="shared" si="1829"/>
        <v>6000</v>
      </c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  <c r="AA840" s="31"/>
      <c r="AB840" s="31"/>
      <c r="AC840" s="31"/>
      <c r="AD840" s="31"/>
      <c r="AE840" s="31"/>
      <c r="AF840" s="31"/>
      <c r="AG840" s="31"/>
    </row>
    <row r="841" spans="1:33" s="32" customFormat="1" ht="15" customHeight="1">
      <c r="A841" s="37">
        <v>43924</v>
      </c>
      <c r="B841" s="20" t="s">
        <v>473</v>
      </c>
      <c r="C841" s="20" t="s">
        <v>47</v>
      </c>
      <c r="D841" s="20">
        <v>175</v>
      </c>
      <c r="E841" s="38">
        <v>2400</v>
      </c>
      <c r="F841" s="20" t="s">
        <v>8</v>
      </c>
      <c r="G841" s="43">
        <v>7.8</v>
      </c>
      <c r="H841" s="43">
        <v>8.8000000000000007</v>
      </c>
      <c r="I841" s="43">
        <v>10</v>
      </c>
      <c r="J841" s="43">
        <v>12</v>
      </c>
      <c r="K841" s="1">
        <f t="shared" ref="K841" si="1863">(IF(F841="SELL",G841-H841,IF(F841="BUY",H841-G841)))*E841</f>
        <v>2400.0000000000023</v>
      </c>
      <c r="L841" s="43">
        <f>E841*1.2</f>
        <v>2880</v>
      </c>
      <c r="M841" s="43">
        <f>E841*2</f>
        <v>4800</v>
      </c>
      <c r="N841" s="1">
        <f t="shared" si="1828"/>
        <v>4.2000000000000011</v>
      </c>
      <c r="O841" s="1">
        <f t="shared" si="1829"/>
        <v>10080.000000000002</v>
      </c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  <c r="AA841" s="31"/>
      <c r="AB841" s="31"/>
      <c r="AC841" s="31"/>
      <c r="AD841" s="31"/>
      <c r="AE841" s="31"/>
      <c r="AF841" s="31"/>
      <c r="AG841" s="31"/>
    </row>
    <row r="842" spans="1:33" s="32" customFormat="1" ht="15" customHeight="1">
      <c r="A842" s="37">
        <v>43922</v>
      </c>
      <c r="B842" s="20" t="s">
        <v>27</v>
      </c>
      <c r="C842" s="20" t="s">
        <v>47</v>
      </c>
      <c r="D842" s="20">
        <v>140</v>
      </c>
      <c r="E842" s="38">
        <v>2700</v>
      </c>
      <c r="F842" s="20" t="s">
        <v>8</v>
      </c>
      <c r="G842" s="43">
        <v>9.5</v>
      </c>
      <c r="H842" s="43">
        <v>10.5</v>
      </c>
      <c r="I842" s="43">
        <v>6.7</v>
      </c>
      <c r="J842" s="43">
        <v>0</v>
      </c>
      <c r="K842" s="1">
        <f t="shared" ref="K842" si="1864">(IF(F842="SELL",G842-H842,IF(F842="BUY",H842-G842)))*E842</f>
        <v>2700</v>
      </c>
      <c r="L842" s="43">
        <f>E842*1.2</f>
        <v>3240</v>
      </c>
      <c r="M842" s="43">
        <v>0</v>
      </c>
      <c r="N842" s="1">
        <f t="shared" si="1828"/>
        <v>2.2000000000000002</v>
      </c>
      <c r="O842" s="1">
        <f t="shared" si="1829"/>
        <v>5940.0000000000009</v>
      </c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  <c r="AA842" s="31"/>
      <c r="AB842" s="31"/>
      <c r="AC842" s="31"/>
      <c r="AD842" s="31"/>
      <c r="AE842" s="31"/>
      <c r="AF842" s="31"/>
      <c r="AG842" s="31"/>
    </row>
    <row r="843" spans="1:33" s="32" customFormat="1" ht="15" customHeight="1">
      <c r="A843" s="37">
        <v>43922</v>
      </c>
      <c r="B843" s="20" t="s">
        <v>43</v>
      </c>
      <c r="C843" s="20" t="s">
        <v>47</v>
      </c>
      <c r="D843" s="20">
        <v>150</v>
      </c>
      <c r="E843" s="38">
        <v>500</v>
      </c>
      <c r="F843" s="20" t="s">
        <v>8</v>
      </c>
      <c r="G843" s="43">
        <v>20.5</v>
      </c>
      <c r="H843" s="43">
        <v>17.5</v>
      </c>
      <c r="I843" s="43">
        <v>0</v>
      </c>
      <c r="J843" s="43">
        <v>0</v>
      </c>
      <c r="K843" s="1">
        <f t="shared" ref="K843" si="1865">(IF(F843="SELL",G843-H843,IF(F843="BUY",H843-G843)))*E843</f>
        <v>-1500</v>
      </c>
      <c r="L843" s="43">
        <v>0</v>
      </c>
      <c r="M843" s="43">
        <v>0</v>
      </c>
      <c r="N843" s="1">
        <f t="shared" si="1828"/>
        <v>-3</v>
      </c>
      <c r="O843" s="1">
        <f t="shared" si="1829"/>
        <v>-1500</v>
      </c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  <c r="AA843" s="31"/>
      <c r="AB843" s="31"/>
      <c r="AC843" s="31"/>
      <c r="AD843" s="31"/>
      <c r="AE843" s="31"/>
      <c r="AF843" s="31"/>
      <c r="AG843" s="31"/>
    </row>
    <row r="844" spans="1:33" s="32" customFormat="1" ht="15" customHeight="1">
      <c r="A844" s="37">
        <v>43921</v>
      </c>
      <c r="B844" s="20" t="s">
        <v>27</v>
      </c>
      <c r="C844" s="20" t="s">
        <v>47</v>
      </c>
      <c r="D844" s="20">
        <v>150</v>
      </c>
      <c r="E844" s="38">
        <v>2700</v>
      </c>
      <c r="F844" s="20" t="s">
        <v>8</v>
      </c>
      <c r="G844" s="43">
        <v>4.5</v>
      </c>
      <c r="H844" s="43">
        <v>5.5</v>
      </c>
      <c r="I844" s="43">
        <v>6.7</v>
      </c>
      <c r="J844" s="43">
        <v>0</v>
      </c>
      <c r="K844" s="1">
        <f t="shared" ref="K844" si="1866">(IF(F844="SELL",G844-H844,IF(F844="BUY",H844-G844)))*E844</f>
        <v>2700</v>
      </c>
      <c r="L844" s="43">
        <f>E844*1.2</f>
        <v>3240</v>
      </c>
      <c r="M844" s="43">
        <v>0</v>
      </c>
      <c r="N844" s="1">
        <f t="shared" si="1828"/>
        <v>2.2000000000000002</v>
      </c>
      <c r="O844" s="1">
        <f t="shared" si="1829"/>
        <v>5940.0000000000009</v>
      </c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1"/>
      <c r="AD844" s="31"/>
      <c r="AE844" s="31"/>
      <c r="AF844" s="31"/>
      <c r="AG844" s="31"/>
    </row>
    <row r="845" spans="1:33" s="32" customFormat="1" ht="15" customHeight="1">
      <c r="A845" s="37">
        <v>43921</v>
      </c>
      <c r="B845" s="20" t="s">
        <v>420</v>
      </c>
      <c r="C845" s="20" t="s">
        <v>47</v>
      </c>
      <c r="D845" s="20">
        <v>2000</v>
      </c>
      <c r="E845" s="38">
        <v>600</v>
      </c>
      <c r="F845" s="20" t="s">
        <v>8</v>
      </c>
      <c r="G845" s="43">
        <v>11</v>
      </c>
      <c r="H845" s="43">
        <v>12.8</v>
      </c>
      <c r="I845" s="43">
        <v>0</v>
      </c>
      <c r="J845" s="43">
        <v>0</v>
      </c>
      <c r="K845" s="1">
        <f t="shared" ref="K845" si="1867">(IF(F845="SELL",G845-H845,IF(F845="BUY",H845-G845)))*E845</f>
        <v>1080.0000000000005</v>
      </c>
      <c r="L845" s="43">
        <v>0</v>
      </c>
      <c r="M845" s="43">
        <v>0</v>
      </c>
      <c r="N845" s="1">
        <f t="shared" si="1828"/>
        <v>1.8000000000000007</v>
      </c>
      <c r="O845" s="1">
        <f t="shared" si="1829"/>
        <v>1080.0000000000005</v>
      </c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1"/>
      <c r="AD845" s="31"/>
      <c r="AE845" s="31"/>
      <c r="AF845" s="31"/>
      <c r="AG845" s="31"/>
    </row>
    <row r="846" spans="1:33" s="32" customFormat="1" ht="15" customHeight="1">
      <c r="A846" s="37">
        <v>43920</v>
      </c>
      <c r="B846" s="20" t="s">
        <v>446</v>
      </c>
      <c r="C846" s="20" t="s">
        <v>47</v>
      </c>
      <c r="D846" s="20">
        <v>2500</v>
      </c>
      <c r="E846" s="38">
        <v>300</v>
      </c>
      <c r="F846" s="20" t="s">
        <v>8</v>
      </c>
      <c r="G846" s="43">
        <v>45</v>
      </c>
      <c r="H846" s="43">
        <v>55</v>
      </c>
      <c r="I846" s="43">
        <v>0</v>
      </c>
      <c r="J846" s="43">
        <v>0</v>
      </c>
      <c r="K846" s="1">
        <f t="shared" ref="K846" si="1868">(IF(F846="SELL",G846-H846,IF(F846="BUY",H846-G846)))*E846</f>
        <v>3000</v>
      </c>
      <c r="L846" s="43">
        <v>0</v>
      </c>
      <c r="M846" s="43">
        <v>0</v>
      </c>
      <c r="N846" s="1">
        <f t="shared" si="1828"/>
        <v>10</v>
      </c>
      <c r="O846" s="1">
        <f t="shared" si="1829"/>
        <v>3000</v>
      </c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1"/>
      <c r="AD846" s="31"/>
      <c r="AE846" s="31"/>
      <c r="AF846" s="31"/>
      <c r="AG846" s="31"/>
    </row>
    <row r="847" spans="1:33" s="32" customFormat="1" ht="15" customHeight="1">
      <c r="A847" s="37">
        <v>43920</v>
      </c>
      <c r="B847" s="20" t="s">
        <v>37</v>
      </c>
      <c r="C847" s="20" t="s">
        <v>47</v>
      </c>
      <c r="D847" s="20">
        <v>2300</v>
      </c>
      <c r="E847" s="38">
        <v>250</v>
      </c>
      <c r="F847" s="20" t="s">
        <v>8</v>
      </c>
      <c r="G847" s="43">
        <v>17</v>
      </c>
      <c r="H847" s="43">
        <v>26</v>
      </c>
      <c r="I847" s="43">
        <v>0</v>
      </c>
      <c r="J847" s="43">
        <v>0</v>
      </c>
      <c r="K847" s="1">
        <f t="shared" ref="K847:K849" si="1869">(IF(F847="SELL",G847-H847,IF(F847="BUY",H847-G847)))*E847</f>
        <v>2250</v>
      </c>
      <c r="L847" s="43">
        <v>0</v>
      </c>
      <c r="M847" s="43">
        <v>0</v>
      </c>
      <c r="N847" s="1">
        <f t="shared" si="1828"/>
        <v>9</v>
      </c>
      <c r="O847" s="1">
        <f t="shared" si="1829"/>
        <v>2250</v>
      </c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  <c r="AA847" s="31"/>
      <c r="AB847" s="31"/>
      <c r="AC847" s="31"/>
      <c r="AD847" s="31"/>
      <c r="AE847" s="31"/>
      <c r="AF847" s="31"/>
      <c r="AG847" s="31"/>
    </row>
    <row r="848" spans="1:33" s="32" customFormat="1" ht="15" customHeight="1">
      <c r="A848" s="37">
        <v>43920</v>
      </c>
      <c r="B848" s="20" t="s">
        <v>486</v>
      </c>
      <c r="C848" s="20" t="s">
        <v>47</v>
      </c>
      <c r="D848" s="20">
        <v>90</v>
      </c>
      <c r="E848" s="38">
        <v>480</v>
      </c>
      <c r="F848" s="20" t="s">
        <v>8</v>
      </c>
      <c r="G848" s="43">
        <v>4.2</v>
      </c>
      <c r="H848" s="43">
        <v>4.2</v>
      </c>
      <c r="I848" s="43">
        <v>0</v>
      </c>
      <c r="J848" s="43">
        <v>0</v>
      </c>
      <c r="K848" s="1">
        <f t="shared" ref="K848" si="1870">(IF(F848="SELL",G848-H848,IF(F848="BUY",H848-G848)))*E848</f>
        <v>0</v>
      </c>
      <c r="L848" s="43">
        <v>0</v>
      </c>
      <c r="M848" s="43">
        <v>0</v>
      </c>
      <c r="N848" s="1">
        <f t="shared" si="1828"/>
        <v>0</v>
      </c>
      <c r="O848" s="1">
        <f t="shared" si="1829"/>
        <v>0</v>
      </c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  <c r="AA848" s="31"/>
      <c r="AB848" s="31"/>
      <c r="AC848" s="31"/>
      <c r="AD848" s="31"/>
      <c r="AE848" s="31"/>
      <c r="AF848" s="31"/>
      <c r="AG848" s="31"/>
    </row>
    <row r="849" spans="1:33" s="32" customFormat="1" ht="15" customHeight="1">
      <c r="A849" s="37">
        <v>43920</v>
      </c>
      <c r="B849" s="20" t="s">
        <v>24</v>
      </c>
      <c r="C849" s="20" t="s">
        <v>47</v>
      </c>
      <c r="D849" s="20">
        <v>110</v>
      </c>
      <c r="E849" s="38">
        <v>4300</v>
      </c>
      <c r="F849" s="20" t="s">
        <v>8</v>
      </c>
      <c r="G849" s="43">
        <v>2.2999999999999998</v>
      </c>
      <c r="H849" s="43">
        <v>1.8</v>
      </c>
      <c r="I849" s="43">
        <v>0</v>
      </c>
      <c r="J849" s="43">
        <v>0</v>
      </c>
      <c r="K849" s="1">
        <f t="shared" si="1869"/>
        <v>-2149.9999999999991</v>
      </c>
      <c r="L849" s="43">
        <v>0</v>
      </c>
      <c r="M849" s="43">
        <v>0</v>
      </c>
      <c r="N849" s="1">
        <f t="shared" si="1828"/>
        <v>-0.49999999999999978</v>
      </c>
      <c r="O849" s="1">
        <f t="shared" si="1829"/>
        <v>-2149.9999999999991</v>
      </c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  <c r="AA849" s="31"/>
      <c r="AB849" s="31"/>
      <c r="AC849" s="31"/>
      <c r="AD849" s="31"/>
      <c r="AE849" s="31"/>
      <c r="AF849" s="31"/>
      <c r="AG849" s="31"/>
    </row>
    <row r="850" spans="1:33" s="32" customFormat="1" ht="15" customHeight="1">
      <c r="A850" s="37">
        <v>43916</v>
      </c>
      <c r="B850" s="20" t="s">
        <v>175</v>
      </c>
      <c r="C850" s="20" t="s">
        <v>47</v>
      </c>
      <c r="D850" s="20">
        <v>2900</v>
      </c>
      <c r="E850" s="38">
        <v>250</v>
      </c>
      <c r="F850" s="20" t="s">
        <v>8</v>
      </c>
      <c r="G850" s="43">
        <v>10</v>
      </c>
      <c r="H850" s="43">
        <v>17</v>
      </c>
      <c r="I850" s="43">
        <v>27</v>
      </c>
      <c r="J850" s="43">
        <v>40</v>
      </c>
      <c r="K850" s="1">
        <f t="shared" ref="K850" si="1871">(IF(F850="SELL",G850-H850,IF(F850="BUY",H850-G850)))*E850</f>
        <v>1750</v>
      </c>
      <c r="L850" s="43">
        <f>E850*10</f>
        <v>2500</v>
      </c>
      <c r="M850" s="43">
        <f>E850*13</f>
        <v>3250</v>
      </c>
      <c r="N850" s="1">
        <f t="shared" si="1828"/>
        <v>30</v>
      </c>
      <c r="O850" s="1">
        <f t="shared" si="1829"/>
        <v>7500</v>
      </c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  <c r="AA850" s="31"/>
      <c r="AB850" s="31"/>
      <c r="AC850" s="31"/>
      <c r="AD850" s="31"/>
      <c r="AE850" s="31"/>
      <c r="AF850" s="31"/>
      <c r="AG850" s="31"/>
    </row>
    <row r="851" spans="1:33" s="32" customFormat="1" ht="15" customHeight="1">
      <c r="A851" s="37">
        <v>43916</v>
      </c>
      <c r="B851" s="20" t="s">
        <v>473</v>
      </c>
      <c r="C851" s="20" t="s">
        <v>47</v>
      </c>
      <c r="D851" s="20">
        <v>150</v>
      </c>
      <c r="E851" s="38">
        <v>2400</v>
      </c>
      <c r="F851" s="20" t="s">
        <v>8</v>
      </c>
      <c r="G851" s="43">
        <v>4.5</v>
      </c>
      <c r="H851" s="43">
        <v>6</v>
      </c>
      <c r="I851" s="43">
        <v>7</v>
      </c>
      <c r="J851" s="43">
        <v>0</v>
      </c>
      <c r="K851" s="1">
        <f t="shared" ref="K851" si="1872">(IF(F851="SELL",G851-H851,IF(F851="BUY",H851-G851)))*E851</f>
        <v>3600</v>
      </c>
      <c r="L851" s="43">
        <v>2400</v>
      </c>
      <c r="M851" s="43">
        <v>0</v>
      </c>
      <c r="N851" s="1">
        <f t="shared" si="1828"/>
        <v>2.5</v>
      </c>
      <c r="O851" s="1">
        <f t="shared" si="1829"/>
        <v>6000</v>
      </c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  <c r="AA851" s="31"/>
      <c r="AB851" s="31"/>
      <c r="AC851" s="31"/>
      <c r="AD851" s="31"/>
      <c r="AE851" s="31"/>
      <c r="AF851" s="31"/>
      <c r="AG851" s="31"/>
    </row>
    <row r="852" spans="1:33" s="32" customFormat="1" ht="15" customHeight="1">
      <c r="A852" s="37">
        <v>43916</v>
      </c>
      <c r="B852" s="20" t="s">
        <v>179</v>
      </c>
      <c r="C852" s="20" t="s">
        <v>47</v>
      </c>
      <c r="D852" s="20">
        <v>60</v>
      </c>
      <c r="E852" s="38">
        <v>5400</v>
      </c>
      <c r="F852" s="20" t="s">
        <v>8</v>
      </c>
      <c r="G852" s="43">
        <v>1.4</v>
      </c>
      <c r="H852" s="43">
        <v>0.65</v>
      </c>
      <c r="I852" s="43">
        <v>0</v>
      </c>
      <c r="J852" s="43">
        <v>0</v>
      </c>
      <c r="K852" s="1">
        <f t="shared" ref="K852" si="1873">(IF(F852="SELL",G852-H852,IF(F852="BUY",H852-G852)))*E852</f>
        <v>-4049.9999999999995</v>
      </c>
      <c r="L852" s="43">
        <v>0</v>
      </c>
      <c r="M852" s="43">
        <v>0</v>
      </c>
      <c r="N852" s="1">
        <f t="shared" si="1828"/>
        <v>-0.74999999999999989</v>
      </c>
      <c r="O852" s="1">
        <f t="shared" si="1829"/>
        <v>-4049.9999999999995</v>
      </c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  <c r="AA852" s="31"/>
      <c r="AB852" s="31"/>
      <c r="AC852" s="31"/>
      <c r="AD852" s="31"/>
      <c r="AE852" s="31"/>
      <c r="AF852" s="31"/>
      <c r="AG852" s="31"/>
    </row>
    <row r="853" spans="1:33" s="32" customFormat="1" ht="15" customHeight="1">
      <c r="A853" s="37">
        <v>43915</v>
      </c>
      <c r="B853" s="20" t="s">
        <v>179</v>
      </c>
      <c r="C853" s="20" t="s">
        <v>47</v>
      </c>
      <c r="D853" s="20">
        <v>60</v>
      </c>
      <c r="E853" s="38">
        <v>5400</v>
      </c>
      <c r="F853" s="20" t="s">
        <v>8</v>
      </c>
      <c r="G853" s="43">
        <v>0.9</v>
      </c>
      <c r="H853" s="43">
        <v>1.3</v>
      </c>
      <c r="I853" s="43">
        <v>2</v>
      </c>
      <c r="J853" s="43">
        <v>0</v>
      </c>
      <c r="K853" s="1">
        <f t="shared" ref="K853" si="1874">(IF(F853="SELL",G853-H853,IF(F853="BUY",H853-G853)))*E853</f>
        <v>2160</v>
      </c>
      <c r="L853" s="43">
        <f>E853*0.7</f>
        <v>3779.9999999999995</v>
      </c>
      <c r="M853" s="43">
        <v>0</v>
      </c>
      <c r="N853" s="1">
        <f t="shared" si="1828"/>
        <v>1.1000000000000001</v>
      </c>
      <c r="O853" s="1">
        <f t="shared" si="1829"/>
        <v>5940.0000000000009</v>
      </c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  <c r="AA853" s="31"/>
      <c r="AB853" s="31"/>
      <c r="AC853" s="31"/>
      <c r="AD853" s="31"/>
      <c r="AE853" s="31"/>
      <c r="AF853" s="31"/>
      <c r="AG853" s="31"/>
    </row>
    <row r="854" spans="1:33" s="32" customFormat="1" ht="15" customHeight="1">
      <c r="A854" s="37">
        <v>43915</v>
      </c>
      <c r="B854" s="20" t="s">
        <v>122</v>
      </c>
      <c r="C854" s="20" t="s">
        <v>47</v>
      </c>
      <c r="D854" s="20">
        <v>1600</v>
      </c>
      <c r="E854" s="38">
        <v>250</v>
      </c>
      <c r="F854" s="20" t="s">
        <v>8</v>
      </c>
      <c r="G854" s="43">
        <v>32</v>
      </c>
      <c r="H854" s="43">
        <v>42</v>
      </c>
      <c r="I854" s="43">
        <v>55</v>
      </c>
      <c r="J854" s="43">
        <v>70</v>
      </c>
      <c r="K854" s="1">
        <f t="shared" ref="K854:K856" si="1875">(IF(F854="SELL",G854-H854,IF(F854="BUY",H854-G854)))*E854</f>
        <v>2500</v>
      </c>
      <c r="L854" s="43">
        <f>E854*13</f>
        <v>3250</v>
      </c>
      <c r="M854" s="43">
        <f>E854*15</f>
        <v>3750</v>
      </c>
      <c r="N854" s="1">
        <f t="shared" si="1828"/>
        <v>38</v>
      </c>
      <c r="O854" s="1">
        <f t="shared" si="1829"/>
        <v>9500</v>
      </c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1"/>
      <c r="AD854" s="31"/>
      <c r="AE854" s="31"/>
      <c r="AF854" s="31"/>
      <c r="AG854" s="31"/>
    </row>
    <row r="855" spans="1:33" s="32" customFormat="1" ht="15" customHeight="1">
      <c r="A855" s="37">
        <v>43913</v>
      </c>
      <c r="B855" s="20" t="s">
        <v>39</v>
      </c>
      <c r="C855" s="20" t="s">
        <v>47</v>
      </c>
      <c r="D855" s="20">
        <v>720</v>
      </c>
      <c r="E855" s="38">
        <v>500</v>
      </c>
      <c r="F855" s="20" t="s">
        <v>8</v>
      </c>
      <c r="G855" s="43">
        <v>20</v>
      </c>
      <c r="H855" s="43">
        <v>20</v>
      </c>
      <c r="I855" s="43">
        <v>0</v>
      </c>
      <c r="J855" s="43">
        <v>0</v>
      </c>
      <c r="K855" s="1">
        <f t="shared" ref="K855" si="1876">(IF(F855="SELL",G855-H855,IF(F855="BUY",H855-G855)))*E855</f>
        <v>0</v>
      </c>
      <c r="L855" s="43">
        <v>0</v>
      </c>
      <c r="M855" s="43">
        <v>0</v>
      </c>
      <c r="N855" s="1">
        <f t="shared" si="1828"/>
        <v>0</v>
      </c>
      <c r="O855" s="1">
        <f t="shared" si="1829"/>
        <v>0</v>
      </c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1"/>
      <c r="AD855" s="31"/>
      <c r="AE855" s="31"/>
      <c r="AF855" s="31"/>
      <c r="AG855" s="31"/>
    </row>
    <row r="856" spans="1:33" s="32" customFormat="1" ht="15" customHeight="1">
      <c r="A856" s="37">
        <v>43913</v>
      </c>
      <c r="B856" s="20" t="s">
        <v>21</v>
      </c>
      <c r="C856" s="20" t="s">
        <v>46</v>
      </c>
      <c r="D856" s="20">
        <v>130</v>
      </c>
      <c r="E856" s="38">
        <v>3000</v>
      </c>
      <c r="F856" s="20" t="s">
        <v>8</v>
      </c>
      <c r="G856" s="43">
        <v>1.7</v>
      </c>
      <c r="H856" s="43">
        <v>1.7</v>
      </c>
      <c r="I856" s="43">
        <v>0</v>
      </c>
      <c r="J856" s="43">
        <v>0</v>
      </c>
      <c r="K856" s="1">
        <f t="shared" si="1875"/>
        <v>0</v>
      </c>
      <c r="L856" s="43">
        <v>0</v>
      </c>
      <c r="M856" s="43">
        <v>0</v>
      </c>
      <c r="N856" s="1">
        <f t="shared" si="1828"/>
        <v>0</v>
      </c>
      <c r="O856" s="1">
        <f t="shared" si="1829"/>
        <v>0</v>
      </c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1"/>
      <c r="AD856" s="31"/>
      <c r="AE856" s="31"/>
      <c r="AF856" s="31"/>
      <c r="AG856" s="31"/>
    </row>
    <row r="857" spans="1:33" s="32" customFormat="1" ht="15" customHeight="1">
      <c r="A857" s="37">
        <v>43910</v>
      </c>
      <c r="B857" s="20" t="s">
        <v>20</v>
      </c>
      <c r="C857" s="20" t="s">
        <v>47</v>
      </c>
      <c r="D857" s="20">
        <v>620</v>
      </c>
      <c r="E857" s="38">
        <v>1200</v>
      </c>
      <c r="F857" s="20" t="s">
        <v>8</v>
      </c>
      <c r="G857" s="43">
        <v>8.8000000000000007</v>
      </c>
      <c r="H857" s="43">
        <v>10.5</v>
      </c>
      <c r="I857" s="43">
        <v>12.5</v>
      </c>
      <c r="J857" s="43">
        <v>15.5</v>
      </c>
      <c r="K857" s="1">
        <f t="shared" ref="K857" si="1877">(IF(F857="SELL",G857-H857,IF(F857="BUY",H857-G857)))*E857</f>
        <v>2039.9999999999991</v>
      </c>
      <c r="L857" s="43">
        <f>E857*2</f>
        <v>2400</v>
      </c>
      <c r="M857" s="43">
        <f>E857*3</f>
        <v>3600</v>
      </c>
      <c r="N857" s="1">
        <f t="shared" si="1828"/>
        <v>6.6999999999999993</v>
      </c>
      <c r="O857" s="1">
        <f t="shared" si="1829"/>
        <v>8039.9999999999991</v>
      </c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  <c r="AA857" s="31"/>
      <c r="AB857" s="31"/>
      <c r="AC857" s="31"/>
      <c r="AD857" s="31"/>
      <c r="AE857" s="31"/>
      <c r="AF857" s="31"/>
      <c r="AG857" s="31"/>
    </row>
    <row r="858" spans="1:33" s="32" customFormat="1" ht="15" customHeight="1">
      <c r="A858" s="37">
        <v>43910</v>
      </c>
      <c r="B858" s="20" t="s">
        <v>37</v>
      </c>
      <c r="C858" s="20" t="s">
        <v>47</v>
      </c>
      <c r="D858" s="20">
        <v>1740</v>
      </c>
      <c r="E858" s="38">
        <v>250</v>
      </c>
      <c r="F858" s="20" t="s">
        <v>8</v>
      </c>
      <c r="G858" s="43">
        <v>50</v>
      </c>
      <c r="H858" s="43">
        <v>58</v>
      </c>
      <c r="I858" s="43">
        <v>68</v>
      </c>
      <c r="J858" s="43">
        <v>85</v>
      </c>
      <c r="K858" s="1">
        <f t="shared" ref="K858" si="1878">(IF(F858="SELL",G858-H858,IF(F858="BUY",H858-G858)))*E858</f>
        <v>2000</v>
      </c>
      <c r="L858" s="43">
        <f>E858*10</f>
        <v>2500</v>
      </c>
      <c r="M858" s="43">
        <f>E858*17</f>
        <v>4250</v>
      </c>
      <c r="N858" s="1">
        <f t="shared" si="1828"/>
        <v>35</v>
      </c>
      <c r="O858" s="1">
        <f t="shared" si="1829"/>
        <v>8750</v>
      </c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  <c r="AA858" s="31"/>
      <c r="AB858" s="31"/>
      <c r="AC858" s="31"/>
      <c r="AD858" s="31"/>
      <c r="AE858" s="31"/>
      <c r="AF858" s="31"/>
      <c r="AG858" s="31"/>
    </row>
    <row r="859" spans="1:33" s="32" customFormat="1" ht="15" customHeight="1">
      <c r="A859" s="37">
        <v>43909</v>
      </c>
      <c r="B859" s="20" t="s">
        <v>391</v>
      </c>
      <c r="C859" s="20" t="s">
        <v>47</v>
      </c>
      <c r="D859" s="20">
        <v>390</v>
      </c>
      <c r="E859" s="38">
        <v>1250</v>
      </c>
      <c r="F859" s="20" t="s">
        <v>8</v>
      </c>
      <c r="G859" s="43">
        <v>9.1999999999999993</v>
      </c>
      <c r="H859" s="43">
        <v>11.2</v>
      </c>
      <c r="I859" s="43">
        <v>13.55</v>
      </c>
      <c r="J859" s="43">
        <v>73</v>
      </c>
      <c r="K859" s="1">
        <f t="shared" ref="K859" si="1879">(IF(F859="SELL",G859-H859,IF(F859="BUY",H859-G859)))*E859</f>
        <v>2500</v>
      </c>
      <c r="L859" s="43">
        <f>E859*2.35</f>
        <v>2937.5</v>
      </c>
      <c r="M859" s="43">
        <v>0</v>
      </c>
      <c r="N859" s="1">
        <f t="shared" si="1828"/>
        <v>4.3499999999999996</v>
      </c>
      <c r="O859" s="1">
        <f t="shared" si="1829"/>
        <v>5437.5</v>
      </c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  <c r="AA859" s="31"/>
      <c r="AB859" s="31"/>
      <c r="AC859" s="31"/>
      <c r="AD859" s="31"/>
      <c r="AE859" s="31"/>
      <c r="AF859" s="31"/>
      <c r="AG859" s="31"/>
    </row>
    <row r="860" spans="1:33" s="32" customFormat="1" ht="15" customHeight="1">
      <c r="A860" s="37">
        <v>43909</v>
      </c>
      <c r="B860" s="20" t="s">
        <v>26</v>
      </c>
      <c r="C860" s="20" t="s">
        <v>47</v>
      </c>
      <c r="D860" s="20">
        <v>330</v>
      </c>
      <c r="E860" s="38">
        <v>1500</v>
      </c>
      <c r="F860" s="20" t="s">
        <v>8</v>
      </c>
      <c r="G860" s="43">
        <v>4</v>
      </c>
      <c r="H860" s="43">
        <v>5</v>
      </c>
      <c r="I860" s="43">
        <v>6.5</v>
      </c>
      <c r="J860" s="43">
        <v>0</v>
      </c>
      <c r="K860" s="1">
        <f t="shared" ref="K860" si="1880">(IF(F860="SELL",G860-H860,IF(F860="BUY",H860-G860)))*E860</f>
        <v>1500</v>
      </c>
      <c r="L860" s="43">
        <f>E860*1.5</f>
        <v>2250</v>
      </c>
      <c r="M860" s="43">
        <v>0</v>
      </c>
      <c r="N860" s="1">
        <f t="shared" si="1828"/>
        <v>2.5</v>
      </c>
      <c r="O860" s="1">
        <f t="shared" si="1829"/>
        <v>3750</v>
      </c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  <c r="AA860" s="31"/>
      <c r="AB860" s="31"/>
      <c r="AC860" s="31"/>
      <c r="AD860" s="31"/>
      <c r="AE860" s="31"/>
      <c r="AF860" s="31"/>
      <c r="AG860" s="31"/>
    </row>
    <row r="861" spans="1:33" s="32" customFormat="1" ht="15" customHeight="1">
      <c r="A861" s="37">
        <v>43908</v>
      </c>
      <c r="B861" s="20" t="s">
        <v>43</v>
      </c>
      <c r="C861" s="20" t="s">
        <v>46</v>
      </c>
      <c r="D861" s="20">
        <v>940</v>
      </c>
      <c r="E861" s="38">
        <v>500</v>
      </c>
      <c r="F861" s="20" t="s">
        <v>8</v>
      </c>
      <c r="G861" s="43">
        <v>48</v>
      </c>
      <c r="H861" s="43">
        <v>54</v>
      </c>
      <c r="I861" s="43">
        <v>63</v>
      </c>
      <c r="J861" s="43">
        <v>73</v>
      </c>
      <c r="K861" s="1">
        <f t="shared" ref="K861" si="1881">(IF(F861="SELL",G861-H861,IF(F861="BUY",H861-G861)))*E861</f>
        <v>3000</v>
      </c>
      <c r="L861" s="43">
        <f>E861*9</f>
        <v>4500</v>
      </c>
      <c r="M861" s="43">
        <f>E861*10</f>
        <v>5000</v>
      </c>
      <c r="N861" s="1">
        <f t="shared" si="1828"/>
        <v>25</v>
      </c>
      <c r="O861" s="1">
        <f t="shared" si="1829"/>
        <v>12500</v>
      </c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  <c r="AA861" s="31"/>
      <c r="AB861" s="31"/>
      <c r="AC861" s="31"/>
      <c r="AD861" s="31"/>
      <c r="AE861" s="31"/>
      <c r="AF861" s="31"/>
      <c r="AG861" s="31"/>
    </row>
    <row r="862" spans="1:33" s="32" customFormat="1" ht="15" customHeight="1">
      <c r="A862" s="37">
        <v>43908</v>
      </c>
      <c r="B862" s="20" t="s">
        <v>415</v>
      </c>
      <c r="C862" s="20" t="s">
        <v>46</v>
      </c>
      <c r="D862" s="20">
        <v>1700</v>
      </c>
      <c r="E862" s="38">
        <v>200</v>
      </c>
      <c r="F862" s="20" t="s">
        <v>8</v>
      </c>
      <c r="G862" s="43">
        <v>84</v>
      </c>
      <c r="H862" s="43">
        <v>100</v>
      </c>
      <c r="I862" s="43">
        <v>120</v>
      </c>
      <c r="J862" s="43">
        <v>0</v>
      </c>
      <c r="K862" s="1">
        <f t="shared" ref="K862" si="1882">(IF(F862="SELL",G862-H862,IF(F862="BUY",H862-G862)))*E862</f>
        <v>3200</v>
      </c>
      <c r="L862" s="43">
        <f>E862*20</f>
        <v>4000</v>
      </c>
      <c r="M862" s="43">
        <v>0</v>
      </c>
      <c r="N862" s="1">
        <f t="shared" si="1828"/>
        <v>36</v>
      </c>
      <c r="O862" s="1">
        <f t="shared" si="1829"/>
        <v>7200</v>
      </c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  <c r="AA862" s="31"/>
      <c r="AB862" s="31"/>
      <c r="AC862" s="31"/>
      <c r="AD862" s="31"/>
      <c r="AE862" s="31"/>
      <c r="AF862" s="31"/>
      <c r="AG862" s="31"/>
    </row>
    <row r="863" spans="1:33" s="32" customFormat="1" ht="15" customHeight="1">
      <c r="A863" s="37">
        <v>43908</v>
      </c>
      <c r="B863" s="20" t="s">
        <v>28</v>
      </c>
      <c r="C863" s="20" t="s">
        <v>47</v>
      </c>
      <c r="D863" s="20">
        <v>560</v>
      </c>
      <c r="E863" s="38">
        <v>1851</v>
      </c>
      <c r="F863" s="20" t="s">
        <v>8</v>
      </c>
      <c r="G863" s="43">
        <v>2.8</v>
      </c>
      <c r="H863" s="43">
        <v>1.7</v>
      </c>
      <c r="I863" s="43">
        <v>0</v>
      </c>
      <c r="J863" s="43">
        <v>0</v>
      </c>
      <c r="K863" s="1">
        <f t="shared" ref="K863" si="1883">(IF(F863="SELL",G863-H863,IF(F863="BUY",H863-G863)))*E863</f>
        <v>-2036.0999999999997</v>
      </c>
      <c r="L863" s="43">
        <v>0</v>
      </c>
      <c r="M863" s="43">
        <v>0</v>
      </c>
      <c r="N863" s="1">
        <f t="shared" si="1828"/>
        <v>-1.0999999999999999</v>
      </c>
      <c r="O863" s="1">
        <f t="shared" si="1829"/>
        <v>-2036.0999999999997</v>
      </c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  <c r="AA863" s="31"/>
      <c r="AB863" s="31"/>
      <c r="AC863" s="31"/>
      <c r="AD863" s="31"/>
      <c r="AE863" s="31"/>
      <c r="AF863" s="31"/>
      <c r="AG863" s="31"/>
    </row>
    <row r="864" spans="1:33" s="32" customFormat="1" ht="15" customHeight="1">
      <c r="A864" s="37">
        <v>43907</v>
      </c>
      <c r="B864" s="20" t="s">
        <v>485</v>
      </c>
      <c r="C864" s="20" t="s">
        <v>47</v>
      </c>
      <c r="D864" s="20">
        <v>1700</v>
      </c>
      <c r="E864" s="38">
        <v>500</v>
      </c>
      <c r="F864" s="20" t="s">
        <v>8</v>
      </c>
      <c r="G864" s="43">
        <v>14.2</v>
      </c>
      <c r="H864" s="43">
        <v>18.2</v>
      </c>
      <c r="I864" s="43">
        <v>0</v>
      </c>
      <c r="J864" s="43">
        <v>0</v>
      </c>
      <c r="K864" s="1">
        <f t="shared" ref="K864" si="1884">(IF(F864="SELL",G864-H864,IF(F864="BUY",H864-G864)))*E864</f>
        <v>2000</v>
      </c>
      <c r="L864" s="43">
        <v>0</v>
      </c>
      <c r="M864" s="43">
        <v>0</v>
      </c>
      <c r="N864" s="1">
        <f t="shared" ref="N864:N927" si="1885">(L864+K864+M864)/E864</f>
        <v>4</v>
      </c>
      <c r="O864" s="1">
        <f t="shared" ref="O864:O927" si="1886">N864*E864</f>
        <v>2000</v>
      </c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1"/>
      <c r="AD864" s="31"/>
      <c r="AE864" s="31"/>
      <c r="AF864" s="31"/>
      <c r="AG864" s="31"/>
    </row>
    <row r="865" spans="1:33" s="32" customFormat="1" ht="15" customHeight="1">
      <c r="A865" s="37">
        <v>43907</v>
      </c>
      <c r="B865" s="20" t="s">
        <v>409</v>
      </c>
      <c r="C865" s="20" t="s">
        <v>46</v>
      </c>
      <c r="D865" s="20">
        <v>60</v>
      </c>
      <c r="E865" s="38">
        <v>5600</v>
      </c>
      <c r="F865" s="20" t="s">
        <v>8</v>
      </c>
      <c r="G865" s="43">
        <v>3.8</v>
      </c>
      <c r="H865" s="43">
        <v>4.5</v>
      </c>
      <c r="I865" s="43">
        <v>0</v>
      </c>
      <c r="J865" s="43">
        <v>0</v>
      </c>
      <c r="K865" s="1">
        <f t="shared" ref="K865" si="1887">(IF(F865="SELL",G865-H865,IF(F865="BUY",H865-G865)))*E865</f>
        <v>3920.0000000000009</v>
      </c>
      <c r="L865" s="43">
        <v>0</v>
      </c>
      <c r="M865" s="43">
        <v>0</v>
      </c>
      <c r="N865" s="1">
        <f t="shared" si="1885"/>
        <v>0.70000000000000018</v>
      </c>
      <c r="O865" s="1">
        <f t="shared" si="1886"/>
        <v>3920.0000000000009</v>
      </c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1"/>
      <c r="AD865" s="31"/>
      <c r="AE865" s="31"/>
      <c r="AF865" s="31"/>
      <c r="AG865" s="31"/>
    </row>
    <row r="866" spans="1:33" s="32" customFormat="1" ht="15" customHeight="1">
      <c r="A866" s="37">
        <v>43907</v>
      </c>
      <c r="B866" s="20" t="s">
        <v>63</v>
      </c>
      <c r="C866" s="20" t="s">
        <v>47</v>
      </c>
      <c r="D866" s="20">
        <v>240</v>
      </c>
      <c r="E866" s="38">
        <v>2100</v>
      </c>
      <c r="F866" s="20" t="s">
        <v>8</v>
      </c>
      <c r="G866" s="43">
        <v>5</v>
      </c>
      <c r="H866" s="43">
        <v>5.65</v>
      </c>
      <c r="I866" s="43">
        <v>0</v>
      </c>
      <c r="J866" s="43">
        <v>0</v>
      </c>
      <c r="K866" s="1">
        <f t="shared" ref="K866" si="1888">(IF(F866="SELL",G866-H866,IF(F866="BUY",H866-G866)))*E866</f>
        <v>1365.0000000000007</v>
      </c>
      <c r="L866" s="43">
        <v>0</v>
      </c>
      <c r="M866" s="43">
        <v>0</v>
      </c>
      <c r="N866" s="1">
        <f t="shared" si="1885"/>
        <v>0.65000000000000036</v>
      </c>
      <c r="O866" s="1">
        <f t="shared" si="1886"/>
        <v>1365.0000000000007</v>
      </c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1"/>
      <c r="AD866" s="31"/>
      <c r="AE866" s="31"/>
      <c r="AF866" s="31"/>
      <c r="AG866" s="31"/>
    </row>
    <row r="867" spans="1:33" s="32" customFormat="1" ht="15" customHeight="1">
      <c r="A867" s="37">
        <v>43906</v>
      </c>
      <c r="B867" s="20" t="s">
        <v>368</v>
      </c>
      <c r="C867" s="20" t="s">
        <v>46</v>
      </c>
      <c r="D867" s="20">
        <v>120</v>
      </c>
      <c r="E867" s="38">
        <v>1700</v>
      </c>
      <c r="F867" s="20" t="s">
        <v>8</v>
      </c>
      <c r="G867" s="43">
        <v>7</v>
      </c>
      <c r="H867" s="43">
        <v>7.6</v>
      </c>
      <c r="I867" s="43">
        <v>0</v>
      </c>
      <c r="J867" s="43">
        <v>0</v>
      </c>
      <c r="K867" s="1">
        <f t="shared" ref="K867:K868" si="1889">(IF(F867="SELL",G867-H867,IF(F867="BUY",H867-G867)))*E867</f>
        <v>1019.9999999999994</v>
      </c>
      <c r="L867" s="43">
        <v>0</v>
      </c>
      <c r="M867" s="43">
        <v>0</v>
      </c>
      <c r="N867" s="1">
        <f t="shared" si="1885"/>
        <v>0.59999999999999964</v>
      </c>
      <c r="O867" s="1">
        <f t="shared" si="1886"/>
        <v>1019.9999999999994</v>
      </c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  <c r="AA867" s="31"/>
      <c r="AB867" s="31"/>
      <c r="AC867" s="31"/>
      <c r="AD867" s="31"/>
      <c r="AE867" s="31"/>
      <c r="AF867" s="31"/>
      <c r="AG867" s="31"/>
    </row>
    <row r="868" spans="1:33" s="32" customFormat="1" ht="15" customHeight="1">
      <c r="A868" s="37">
        <v>43906</v>
      </c>
      <c r="B868" s="20" t="s">
        <v>26</v>
      </c>
      <c r="C868" s="20" t="s">
        <v>47</v>
      </c>
      <c r="D868" s="20">
        <v>380</v>
      </c>
      <c r="E868" s="38">
        <v>1500</v>
      </c>
      <c r="F868" s="20" t="s">
        <v>8</v>
      </c>
      <c r="G868" s="43">
        <v>4</v>
      </c>
      <c r="H868" s="43">
        <v>5.5</v>
      </c>
      <c r="I868" s="43">
        <v>30</v>
      </c>
      <c r="J868" s="43">
        <v>0</v>
      </c>
      <c r="K868" s="1">
        <f t="shared" si="1889"/>
        <v>2250</v>
      </c>
      <c r="L868" s="43">
        <v>0</v>
      </c>
      <c r="M868" s="43">
        <v>0</v>
      </c>
      <c r="N868" s="1">
        <f t="shared" si="1885"/>
        <v>1.5</v>
      </c>
      <c r="O868" s="1">
        <f t="shared" si="1886"/>
        <v>2250</v>
      </c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  <c r="AA868" s="31"/>
      <c r="AB868" s="31"/>
      <c r="AC868" s="31"/>
      <c r="AD868" s="31"/>
      <c r="AE868" s="31"/>
      <c r="AF868" s="31"/>
      <c r="AG868" s="31"/>
    </row>
    <row r="869" spans="1:33" s="32" customFormat="1" ht="15" customHeight="1">
      <c r="A869" s="37">
        <v>43906</v>
      </c>
      <c r="B869" s="20" t="s">
        <v>37</v>
      </c>
      <c r="C869" s="20" t="s">
        <v>47</v>
      </c>
      <c r="D869" s="20">
        <v>1900</v>
      </c>
      <c r="E869" s="38">
        <v>250</v>
      </c>
      <c r="F869" s="20" t="s">
        <v>8</v>
      </c>
      <c r="G869" s="43">
        <v>60</v>
      </c>
      <c r="H869" s="43">
        <v>45</v>
      </c>
      <c r="I869" s="43">
        <v>30</v>
      </c>
      <c r="J869" s="43">
        <v>0</v>
      </c>
      <c r="K869" s="1">
        <f t="shared" ref="K869" si="1890">(IF(F869="SELL",G869-H869,IF(F869="BUY",H869-G869)))*E869</f>
        <v>-3750</v>
      </c>
      <c r="L869" s="43">
        <v>0</v>
      </c>
      <c r="M869" s="43">
        <v>0</v>
      </c>
      <c r="N869" s="1">
        <f t="shared" si="1885"/>
        <v>-15</v>
      </c>
      <c r="O869" s="1">
        <f t="shared" si="1886"/>
        <v>-3750</v>
      </c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  <c r="AA869" s="31"/>
      <c r="AB869" s="31"/>
      <c r="AC869" s="31"/>
      <c r="AD869" s="31"/>
      <c r="AE869" s="31"/>
      <c r="AF869" s="31"/>
      <c r="AG869" s="31"/>
    </row>
    <row r="870" spans="1:33" s="32" customFormat="1" ht="15" customHeight="1">
      <c r="A870" s="37">
        <v>43903</v>
      </c>
      <c r="B870" s="20" t="s">
        <v>428</v>
      </c>
      <c r="C870" s="20" t="s">
        <v>47</v>
      </c>
      <c r="D870" s="20">
        <v>1000</v>
      </c>
      <c r="E870" s="38">
        <v>400</v>
      </c>
      <c r="F870" s="20" t="s">
        <v>8</v>
      </c>
      <c r="G870" s="43">
        <v>13</v>
      </c>
      <c r="H870" s="43">
        <v>20</v>
      </c>
      <c r="I870" s="43">
        <v>30</v>
      </c>
      <c r="J870" s="43">
        <v>0</v>
      </c>
      <c r="K870" s="1">
        <f t="shared" ref="K870" si="1891">(IF(F870="SELL",G870-H870,IF(F870="BUY",H870-G870)))*E870</f>
        <v>2800</v>
      </c>
      <c r="L870" s="43">
        <v>4000</v>
      </c>
      <c r="M870" s="43">
        <v>0</v>
      </c>
      <c r="N870" s="1">
        <f t="shared" si="1885"/>
        <v>17</v>
      </c>
      <c r="O870" s="1">
        <f t="shared" si="1886"/>
        <v>6800</v>
      </c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  <c r="AA870" s="31"/>
      <c r="AB870" s="31"/>
      <c r="AC870" s="31"/>
      <c r="AD870" s="31"/>
      <c r="AE870" s="31"/>
      <c r="AF870" s="31"/>
      <c r="AG870" s="31"/>
    </row>
    <row r="871" spans="1:33" s="32" customFormat="1" ht="15" customHeight="1">
      <c r="A871" s="37">
        <v>43903</v>
      </c>
      <c r="B871" s="20" t="s">
        <v>26</v>
      </c>
      <c r="C871" s="20" t="s">
        <v>47</v>
      </c>
      <c r="D871" s="20">
        <v>360</v>
      </c>
      <c r="E871" s="38">
        <v>1500</v>
      </c>
      <c r="F871" s="20" t="s">
        <v>8</v>
      </c>
      <c r="G871" s="43">
        <v>4</v>
      </c>
      <c r="H871" s="43">
        <v>6</v>
      </c>
      <c r="I871" s="43">
        <v>8</v>
      </c>
      <c r="J871" s="43">
        <v>9</v>
      </c>
      <c r="K871" s="1">
        <f t="shared" ref="K871" si="1892">(IF(F871="SELL",G871-H871,IF(F871="BUY",H871-G871)))*E871</f>
        <v>3000</v>
      </c>
      <c r="L871" s="43">
        <v>3000</v>
      </c>
      <c r="M871" s="43">
        <v>1500</v>
      </c>
      <c r="N871" s="1">
        <f t="shared" si="1885"/>
        <v>5</v>
      </c>
      <c r="O871" s="1">
        <f t="shared" si="1886"/>
        <v>7500</v>
      </c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  <c r="AA871" s="31"/>
      <c r="AB871" s="31"/>
      <c r="AC871" s="31"/>
      <c r="AD871" s="31"/>
      <c r="AE871" s="31"/>
      <c r="AF871" s="31"/>
      <c r="AG871" s="31"/>
    </row>
    <row r="872" spans="1:33" s="32" customFormat="1" ht="15" customHeight="1">
      <c r="A872" s="37">
        <v>43902</v>
      </c>
      <c r="B872" s="20" t="s">
        <v>26</v>
      </c>
      <c r="C872" s="20" t="s">
        <v>47</v>
      </c>
      <c r="D872" s="20">
        <v>320</v>
      </c>
      <c r="E872" s="38">
        <v>1500</v>
      </c>
      <c r="F872" s="20" t="s">
        <v>8</v>
      </c>
      <c r="G872" s="43">
        <v>7.5</v>
      </c>
      <c r="H872" s="43">
        <v>9</v>
      </c>
      <c r="I872" s="43">
        <v>0</v>
      </c>
      <c r="J872" s="43">
        <v>0</v>
      </c>
      <c r="K872" s="1">
        <f t="shared" ref="K872" si="1893">(IF(F872="SELL",G872-H872,IF(F872="BUY",H872-G872)))*E872</f>
        <v>2250</v>
      </c>
      <c r="L872" s="43">
        <v>0</v>
      </c>
      <c r="M872" s="43">
        <v>0</v>
      </c>
      <c r="N872" s="1">
        <f t="shared" si="1885"/>
        <v>1.5</v>
      </c>
      <c r="O872" s="1">
        <f t="shared" si="1886"/>
        <v>2250</v>
      </c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  <c r="AA872" s="31"/>
      <c r="AB872" s="31"/>
      <c r="AC872" s="31"/>
      <c r="AD872" s="31"/>
      <c r="AE872" s="31"/>
      <c r="AF872" s="31"/>
      <c r="AG872" s="31"/>
    </row>
    <row r="873" spans="1:33" s="32" customFormat="1" ht="15" customHeight="1">
      <c r="A873" s="37">
        <v>43902</v>
      </c>
      <c r="B873" s="20" t="s">
        <v>415</v>
      </c>
      <c r="C873" s="20" t="s">
        <v>47</v>
      </c>
      <c r="D873" s="20">
        <v>1750</v>
      </c>
      <c r="E873" s="38">
        <v>200</v>
      </c>
      <c r="F873" s="20" t="s">
        <v>8</v>
      </c>
      <c r="G873" s="43">
        <v>35</v>
      </c>
      <c r="H873" s="43">
        <v>45</v>
      </c>
      <c r="I873" s="43">
        <v>60</v>
      </c>
      <c r="J873" s="43">
        <v>0</v>
      </c>
      <c r="K873" s="1">
        <f t="shared" ref="K873" si="1894">(IF(F873="SELL",G873-H873,IF(F873="BUY",H873-G873)))*E873</f>
        <v>2000</v>
      </c>
      <c r="L873" s="43">
        <f>E873*15</f>
        <v>3000</v>
      </c>
      <c r="M873" s="43">
        <v>0</v>
      </c>
      <c r="N873" s="1">
        <f t="shared" si="1885"/>
        <v>25</v>
      </c>
      <c r="O873" s="1">
        <f t="shared" si="1886"/>
        <v>5000</v>
      </c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  <c r="AA873" s="31"/>
      <c r="AB873" s="31"/>
      <c r="AC873" s="31"/>
      <c r="AD873" s="31"/>
      <c r="AE873" s="31"/>
      <c r="AF873" s="31"/>
      <c r="AG873" s="31"/>
    </row>
    <row r="874" spans="1:33" s="32" customFormat="1" ht="15" customHeight="1">
      <c r="A874" s="37">
        <v>43902</v>
      </c>
      <c r="B874" s="20" t="s">
        <v>428</v>
      </c>
      <c r="C874" s="20" t="s">
        <v>47</v>
      </c>
      <c r="D874" s="20">
        <v>950</v>
      </c>
      <c r="E874" s="38">
        <v>400</v>
      </c>
      <c r="F874" s="20" t="s">
        <v>8</v>
      </c>
      <c r="G874" s="43">
        <v>19</v>
      </c>
      <c r="H874" s="43">
        <v>20</v>
      </c>
      <c r="I874" s="43">
        <v>0</v>
      </c>
      <c r="J874" s="43">
        <v>0</v>
      </c>
      <c r="K874" s="1">
        <f t="shared" ref="K874" si="1895">(IF(F874="SELL",G874-H874,IF(F874="BUY",H874-G874)))*E874</f>
        <v>400</v>
      </c>
      <c r="L874" s="43">
        <v>0</v>
      </c>
      <c r="M874" s="43">
        <v>0</v>
      </c>
      <c r="N874" s="1">
        <f t="shared" si="1885"/>
        <v>1</v>
      </c>
      <c r="O874" s="1">
        <f t="shared" si="1886"/>
        <v>400</v>
      </c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1"/>
      <c r="AD874" s="31"/>
      <c r="AE874" s="31"/>
      <c r="AF874" s="31"/>
      <c r="AG874" s="31"/>
    </row>
    <row r="875" spans="1:33" s="32" customFormat="1" ht="15" customHeight="1">
      <c r="A875" s="37">
        <v>43901</v>
      </c>
      <c r="B875" s="20" t="s">
        <v>446</v>
      </c>
      <c r="C875" s="20" t="s">
        <v>47</v>
      </c>
      <c r="D875" s="20">
        <v>2180</v>
      </c>
      <c r="E875" s="38">
        <v>300</v>
      </c>
      <c r="F875" s="20" t="s">
        <v>8</v>
      </c>
      <c r="G875" s="43">
        <v>38</v>
      </c>
      <c r="H875" s="43">
        <v>46</v>
      </c>
      <c r="I875" s="43">
        <v>56</v>
      </c>
      <c r="J875" s="43">
        <v>0</v>
      </c>
      <c r="K875" s="1">
        <f t="shared" ref="K875" si="1896">(IF(F875="SELL",G875-H875,IF(F875="BUY",H875-G875)))*E875</f>
        <v>2400</v>
      </c>
      <c r="L875" s="43">
        <v>3000</v>
      </c>
      <c r="M875" s="43">
        <v>0</v>
      </c>
      <c r="N875" s="1">
        <f t="shared" si="1885"/>
        <v>18</v>
      </c>
      <c r="O875" s="1">
        <f t="shared" si="1886"/>
        <v>5400</v>
      </c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1"/>
      <c r="AD875" s="31"/>
      <c r="AE875" s="31"/>
      <c r="AF875" s="31"/>
      <c r="AG875" s="31"/>
    </row>
    <row r="876" spans="1:33" s="32" customFormat="1" ht="15" customHeight="1">
      <c r="A876" s="37">
        <v>43901</v>
      </c>
      <c r="B876" s="20" t="s">
        <v>26</v>
      </c>
      <c r="C876" s="20" t="s">
        <v>46</v>
      </c>
      <c r="D876" s="20">
        <v>260</v>
      </c>
      <c r="E876" s="38">
        <v>1500</v>
      </c>
      <c r="F876" s="20" t="s">
        <v>8</v>
      </c>
      <c r="G876" s="43">
        <v>5.7</v>
      </c>
      <c r="H876" s="43">
        <v>7.2</v>
      </c>
      <c r="I876" s="43">
        <v>8.1999999999999993</v>
      </c>
      <c r="J876" s="43">
        <v>0</v>
      </c>
      <c r="K876" s="1">
        <f t="shared" ref="K876" si="1897">(IF(F876="SELL",G876-H876,IF(F876="BUY",H876-G876)))*E876</f>
        <v>2250</v>
      </c>
      <c r="L876" s="43">
        <v>1500</v>
      </c>
      <c r="M876" s="43">
        <v>0</v>
      </c>
      <c r="N876" s="1">
        <f t="shared" si="1885"/>
        <v>2.5</v>
      </c>
      <c r="O876" s="1">
        <f t="shared" si="1886"/>
        <v>3750</v>
      </c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1"/>
      <c r="AD876" s="31"/>
      <c r="AE876" s="31"/>
      <c r="AF876" s="31"/>
      <c r="AG876" s="31"/>
    </row>
    <row r="877" spans="1:33" s="32" customFormat="1" ht="15" customHeight="1">
      <c r="A877" s="37">
        <v>43899</v>
      </c>
      <c r="B877" s="20" t="s">
        <v>369</v>
      </c>
      <c r="C877" s="20" t="s">
        <v>47</v>
      </c>
      <c r="D877" s="20">
        <v>1300</v>
      </c>
      <c r="E877" s="38">
        <v>2600</v>
      </c>
      <c r="F877" s="20" t="s">
        <v>8</v>
      </c>
      <c r="G877" s="43">
        <v>6.3</v>
      </c>
      <c r="H877" s="43">
        <v>7.1</v>
      </c>
      <c r="I877" s="43">
        <v>0</v>
      </c>
      <c r="J877" s="43">
        <v>0</v>
      </c>
      <c r="K877" s="1">
        <f t="shared" ref="K877" si="1898">(IF(F877="SELL",G877-H877,IF(F877="BUY",H877-G877)))*E877</f>
        <v>2079.9999999999995</v>
      </c>
      <c r="L877" s="43">
        <v>0</v>
      </c>
      <c r="M877" s="43">
        <v>0</v>
      </c>
      <c r="N877" s="1">
        <f t="shared" si="1885"/>
        <v>0.79999999999999982</v>
      </c>
      <c r="O877" s="1">
        <f t="shared" si="1886"/>
        <v>2079.9999999999995</v>
      </c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  <c r="AA877" s="31"/>
      <c r="AB877" s="31"/>
      <c r="AC877" s="31"/>
      <c r="AD877" s="31"/>
      <c r="AE877" s="31"/>
      <c r="AF877" s="31"/>
      <c r="AG877" s="31"/>
    </row>
    <row r="878" spans="1:33" s="32" customFormat="1" ht="15" customHeight="1">
      <c r="A878" s="37">
        <v>43899</v>
      </c>
      <c r="B878" s="20" t="s">
        <v>69</v>
      </c>
      <c r="C878" s="20" t="s">
        <v>46</v>
      </c>
      <c r="D878" s="20">
        <v>80</v>
      </c>
      <c r="E878" s="38">
        <v>5000</v>
      </c>
      <c r="F878" s="20" t="s">
        <v>8</v>
      </c>
      <c r="G878" s="43">
        <v>2.5</v>
      </c>
      <c r="H878" s="43">
        <v>2.5</v>
      </c>
      <c r="I878" s="43">
        <v>0</v>
      </c>
      <c r="J878" s="43">
        <v>0</v>
      </c>
      <c r="K878" s="1">
        <f t="shared" ref="K878" si="1899">(IF(F878="SELL",G878-H878,IF(F878="BUY",H878-G878)))*E878</f>
        <v>0</v>
      </c>
      <c r="L878" s="43">
        <v>0</v>
      </c>
      <c r="M878" s="43">
        <v>0</v>
      </c>
      <c r="N878" s="1">
        <f t="shared" si="1885"/>
        <v>0</v>
      </c>
      <c r="O878" s="1">
        <f t="shared" si="1886"/>
        <v>0</v>
      </c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  <c r="AA878" s="31"/>
      <c r="AB878" s="31"/>
      <c r="AC878" s="31"/>
      <c r="AD878" s="31"/>
      <c r="AE878" s="31"/>
      <c r="AF878" s="31"/>
      <c r="AG878" s="31"/>
    </row>
    <row r="879" spans="1:33" s="32" customFormat="1" ht="15" customHeight="1">
      <c r="A879" s="37">
        <v>43899</v>
      </c>
      <c r="B879" s="20" t="s">
        <v>18</v>
      </c>
      <c r="C879" s="20" t="s">
        <v>47</v>
      </c>
      <c r="D879" s="20">
        <v>440</v>
      </c>
      <c r="E879" s="38">
        <v>1150</v>
      </c>
      <c r="F879" s="20" t="s">
        <v>8</v>
      </c>
      <c r="G879" s="43">
        <v>12.8</v>
      </c>
      <c r="H879" s="43">
        <v>11.3</v>
      </c>
      <c r="I879" s="43">
        <v>0</v>
      </c>
      <c r="J879" s="43">
        <v>0</v>
      </c>
      <c r="K879" s="1">
        <f t="shared" ref="K879" si="1900">(IF(F879="SELL",G879-H879,IF(F879="BUY",H879-G879)))*E879</f>
        <v>-1725</v>
      </c>
      <c r="L879" s="43">
        <v>0</v>
      </c>
      <c r="M879" s="43">
        <v>0</v>
      </c>
      <c r="N879" s="1">
        <f t="shared" si="1885"/>
        <v>-1.5</v>
      </c>
      <c r="O879" s="1">
        <f t="shared" si="1886"/>
        <v>-1725</v>
      </c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  <c r="AA879" s="31"/>
      <c r="AB879" s="31"/>
      <c r="AC879" s="31"/>
      <c r="AD879" s="31"/>
      <c r="AE879" s="31"/>
      <c r="AF879" s="31"/>
      <c r="AG879" s="31"/>
    </row>
    <row r="880" spans="1:33" s="32" customFormat="1" ht="15" customHeight="1">
      <c r="A880" s="37">
        <v>43894</v>
      </c>
      <c r="B880" s="20" t="s">
        <v>208</v>
      </c>
      <c r="C880" s="20" t="s">
        <v>47</v>
      </c>
      <c r="D880" s="20">
        <v>2300</v>
      </c>
      <c r="E880" s="38">
        <v>400</v>
      </c>
      <c r="F880" s="20" t="s">
        <v>8</v>
      </c>
      <c r="G880" s="43">
        <v>44</v>
      </c>
      <c r="H880" s="43">
        <v>50</v>
      </c>
      <c r="I880" s="43">
        <v>57</v>
      </c>
      <c r="J880" s="43">
        <v>14</v>
      </c>
      <c r="K880" s="1">
        <f t="shared" ref="K880" si="1901">(IF(F880="SELL",G880-H880,IF(F880="BUY",H880-G880)))*E880</f>
        <v>2400</v>
      </c>
      <c r="L880" s="43">
        <v>2800</v>
      </c>
      <c r="M880" s="43">
        <v>0</v>
      </c>
      <c r="N880" s="1">
        <f t="shared" si="1885"/>
        <v>13</v>
      </c>
      <c r="O880" s="1">
        <f t="shared" si="1886"/>
        <v>5200</v>
      </c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  <c r="AA880" s="31"/>
      <c r="AB880" s="31"/>
      <c r="AC880" s="31"/>
      <c r="AD880" s="31"/>
      <c r="AE880" s="31"/>
      <c r="AF880" s="31"/>
      <c r="AG880" s="31"/>
    </row>
    <row r="881" spans="1:33" s="32" customFormat="1" ht="15" customHeight="1">
      <c r="A881" s="37">
        <v>43896</v>
      </c>
      <c r="B881" s="20" t="s">
        <v>37</v>
      </c>
      <c r="C881" s="20" t="s">
        <v>47</v>
      </c>
      <c r="D881" s="20">
        <v>2120</v>
      </c>
      <c r="E881" s="38">
        <v>250</v>
      </c>
      <c r="F881" s="20" t="s">
        <v>8</v>
      </c>
      <c r="G881" s="43">
        <v>37</v>
      </c>
      <c r="H881" s="43">
        <v>40</v>
      </c>
      <c r="I881" s="43">
        <v>0</v>
      </c>
      <c r="J881" s="43">
        <v>0</v>
      </c>
      <c r="K881" s="1">
        <f t="shared" ref="K881" si="1902">(IF(F881="SELL",G881-H881,IF(F881="BUY",H881-G881)))*E881</f>
        <v>750</v>
      </c>
      <c r="L881" s="43">
        <v>0</v>
      </c>
      <c r="M881" s="43">
        <v>0</v>
      </c>
      <c r="N881" s="1">
        <f t="shared" si="1885"/>
        <v>3</v>
      </c>
      <c r="O881" s="1">
        <f t="shared" si="1886"/>
        <v>750</v>
      </c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  <c r="AA881" s="31"/>
      <c r="AB881" s="31"/>
      <c r="AC881" s="31"/>
      <c r="AD881" s="31"/>
      <c r="AE881" s="31"/>
      <c r="AF881" s="31"/>
      <c r="AG881" s="31"/>
    </row>
    <row r="882" spans="1:33" s="32" customFormat="1" ht="15" customHeight="1">
      <c r="A882" s="37">
        <v>43895</v>
      </c>
      <c r="B882" s="20" t="s">
        <v>98</v>
      </c>
      <c r="C882" s="20" t="s">
        <v>47</v>
      </c>
      <c r="D882" s="20">
        <v>310</v>
      </c>
      <c r="E882" s="38">
        <v>2300</v>
      </c>
      <c r="F882" s="20" t="s">
        <v>8</v>
      </c>
      <c r="G882" s="43">
        <v>12.8</v>
      </c>
      <c r="H882" s="43">
        <v>14.5</v>
      </c>
      <c r="I882" s="43">
        <v>0</v>
      </c>
      <c r="J882" s="43">
        <v>0</v>
      </c>
      <c r="K882" s="1">
        <f t="shared" ref="K882" si="1903">(IF(F882="SELL",G882-H882,IF(F882="BUY",H882-G882)))*E882</f>
        <v>3909.9999999999982</v>
      </c>
      <c r="L882" s="43">
        <v>0</v>
      </c>
      <c r="M882" s="43">
        <v>0</v>
      </c>
      <c r="N882" s="1">
        <f t="shared" si="1885"/>
        <v>1.6999999999999993</v>
      </c>
      <c r="O882" s="1">
        <f t="shared" si="1886"/>
        <v>3909.9999999999982</v>
      </c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  <c r="AA882" s="31"/>
      <c r="AB882" s="31"/>
      <c r="AC882" s="31"/>
      <c r="AD882" s="31"/>
      <c r="AE882" s="31"/>
      <c r="AF882" s="31"/>
      <c r="AG882" s="31"/>
    </row>
    <row r="883" spans="1:33" s="32" customFormat="1" ht="15" customHeight="1">
      <c r="A883" s="37">
        <v>43895</v>
      </c>
      <c r="B883" s="20" t="s">
        <v>420</v>
      </c>
      <c r="C883" s="20" t="s">
        <v>47</v>
      </c>
      <c r="D883" s="20">
        <v>1960</v>
      </c>
      <c r="E883" s="38">
        <v>600</v>
      </c>
      <c r="F883" s="20" t="s">
        <v>8</v>
      </c>
      <c r="G883" s="43">
        <v>16.8</v>
      </c>
      <c r="H883" s="43">
        <v>19.75</v>
      </c>
      <c r="I883" s="43">
        <v>0</v>
      </c>
      <c r="J883" s="43">
        <v>0</v>
      </c>
      <c r="K883" s="1">
        <f t="shared" ref="K883" si="1904">(IF(F883="SELL",G883-H883,IF(F883="BUY",H883-G883)))*E883</f>
        <v>1769.9999999999995</v>
      </c>
      <c r="L883" s="43">
        <v>0</v>
      </c>
      <c r="M883" s="43">
        <v>0</v>
      </c>
      <c r="N883" s="1">
        <f t="shared" si="1885"/>
        <v>2.9499999999999993</v>
      </c>
      <c r="O883" s="1">
        <f t="shared" si="1886"/>
        <v>1769.9999999999995</v>
      </c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  <c r="AA883" s="31"/>
      <c r="AB883" s="31"/>
      <c r="AC883" s="31"/>
      <c r="AD883" s="31"/>
      <c r="AE883" s="31"/>
      <c r="AF883" s="31"/>
      <c r="AG883" s="31"/>
    </row>
    <row r="884" spans="1:33" s="32" customFormat="1" ht="15" customHeight="1">
      <c r="A884" s="37">
        <v>43894</v>
      </c>
      <c r="B884" s="20" t="s">
        <v>18</v>
      </c>
      <c r="C884" s="20" t="s">
        <v>47</v>
      </c>
      <c r="D884" s="20">
        <v>450</v>
      </c>
      <c r="E884" s="38">
        <v>1150</v>
      </c>
      <c r="F884" s="20" t="s">
        <v>8</v>
      </c>
      <c r="G884" s="43">
        <v>7</v>
      </c>
      <c r="H884" s="43">
        <v>9</v>
      </c>
      <c r="I884" s="43">
        <v>11</v>
      </c>
      <c r="J884" s="43">
        <v>14</v>
      </c>
      <c r="K884" s="1">
        <f t="shared" ref="K884" si="1905">(IF(F884="SELL",G884-H884,IF(F884="BUY",H884-G884)))*E884</f>
        <v>2300</v>
      </c>
      <c r="L884" s="43">
        <f>E884*2</f>
        <v>2300</v>
      </c>
      <c r="M884" s="43">
        <f>E884*3</f>
        <v>3450</v>
      </c>
      <c r="N884" s="1">
        <f t="shared" si="1885"/>
        <v>7</v>
      </c>
      <c r="O884" s="1">
        <f t="shared" si="1886"/>
        <v>8050</v>
      </c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1"/>
      <c r="AD884" s="31"/>
      <c r="AE884" s="31"/>
      <c r="AF884" s="31"/>
      <c r="AG884" s="31"/>
    </row>
    <row r="885" spans="1:33" s="32" customFormat="1" ht="15" customHeight="1">
      <c r="A885" s="37">
        <v>43894</v>
      </c>
      <c r="B885" s="20" t="s">
        <v>420</v>
      </c>
      <c r="C885" s="20" t="s">
        <v>47</v>
      </c>
      <c r="D885" s="20">
        <v>1920</v>
      </c>
      <c r="E885" s="38">
        <v>600</v>
      </c>
      <c r="F885" s="20" t="s">
        <v>8</v>
      </c>
      <c r="G885" s="43">
        <v>19</v>
      </c>
      <c r="H885" s="43">
        <v>23</v>
      </c>
      <c r="I885" s="43">
        <v>0</v>
      </c>
      <c r="J885" s="43">
        <v>0</v>
      </c>
      <c r="K885" s="1">
        <f t="shared" ref="K885" si="1906">(IF(F885="SELL",G885-H885,IF(F885="BUY",H885-G885)))*E885</f>
        <v>2400</v>
      </c>
      <c r="L885" s="43">
        <v>0</v>
      </c>
      <c r="M885" s="43">
        <v>0</v>
      </c>
      <c r="N885" s="1">
        <f t="shared" si="1885"/>
        <v>4</v>
      </c>
      <c r="O885" s="1">
        <f t="shared" si="1886"/>
        <v>2400</v>
      </c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1"/>
      <c r="AD885" s="31"/>
      <c r="AE885" s="31"/>
      <c r="AF885" s="31"/>
      <c r="AG885" s="31"/>
    </row>
    <row r="886" spans="1:33" s="32" customFormat="1" ht="15" customHeight="1">
      <c r="A886" s="37">
        <v>43894</v>
      </c>
      <c r="B886" s="20" t="s">
        <v>417</v>
      </c>
      <c r="C886" s="20" t="s">
        <v>47</v>
      </c>
      <c r="D886" s="20">
        <v>300</v>
      </c>
      <c r="E886" s="38">
        <v>1400</v>
      </c>
      <c r="F886" s="20" t="s">
        <v>8</v>
      </c>
      <c r="G886" s="43">
        <v>11</v>
      </c>
      <c r="H886" s="43">
        <v>11</v>
      </c>
      <c r="I886" s="43">
        <v>0</v>
      </c>
      <c r="J886" s="43">
        <v>0</v>
      </c>
      <c r="K886" s="1">
        <f t="shared" ref="K886" si="1907">(IF(F886="SELL",G886-H886,IF(F886="BUY",H886-G886)))*E886</f>
        <v>0</v>
      </c>
      <c r="L886" s="43">
        <v>0</v>
      </c>
      <c r="M886" s="43">
        <v>0</v>
      </c>
      <c r="N886" s="1">
        <f t="shared" si="1885"/>
        <v>0</v>
      </c>
      <c r="O886" s="1">
        <f t="shared" si="1886"/>
        <v>0</v>
      </c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1"/>
      <c r="AD886" s="31"/>
      <c r="AE886" s="31"/>
      <c r="AF886" s="31"/>
      <c r="AG886" s="31"/>
    </row>
    <row r="887" spans="1:33" s="32" customFormat="1" ht="15" customHeight="1">
      <c r="A887" s="37">
        <v>43893</v>
      </c>
      <c r="B887" s="20" t="s">
        <v>208</v>
      </c>
      <c r="C887" s="20" t="s">
        <v>47</v>
      </c>
      <c r="D887" s="20">
        <v>2360</v>
      </c>
      <c r="E887" s="38">
        <v>400</v>
      </c>
      <c r="F887" s="20" t="s">
        <v>8</v>
      </c>
      <c r="G887" s="43">
        <v>28</v>
      </c>
      <c r="H887" s="43">
        <v>21</v>
      </c>
      <c r="I887" s="43">
        <v>9</v>
      </c>
      <c r="J887" s="43">
        <v>0</v>
      </c>
      <c r="K887" s="1">
        <f t="shared" ref="K887" si="1908">(IF(F887="SELL",G887-H887,IF(F887="BUY",H887-G887)))*E887</f>
        <v>-2800</v>
      </c>
      <c r="L887" s="43">
        <v>0</v>
      </c>
      <c r="M887" s="43">
        <v>0</v>
      </c>
      <c r="N887" s="1">
        <f t="shared" si="1885"/>
        <v>-7</v>
      </c>
      <c r="O887" s="1">
        <f t="shared" si="1886"/>
        <v>-2800</v>
      </c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  <c r="AA887" s="31"/>
      <c r="AB887" s="31"/>
      <c r="AC887" s="31"/>
      <c r="AD887" s="31"/>
      <c r="AE887" s="31"/>
      <c r="AF887" s="31"/>
      <c r="AG887" s="31"/>
    </row>
    <row r="888" spans="1:33" s="32" customFormat="1" ht="15" customHeight="1">
      <c r="A888" s="37">
        <v>43893</v>
      </c>
      <c r="B888" s="20" t="s">
        <v>18</v>
      </c>
      <c r="C888" s="20" t="s">
        <v>47</v>
      </c>
      <c r="D888" s="20">
        <v>420</v>
      </c>
      <c r="E888" s="38">
        <v>1150</v>
      </c>
      <c r="F888" s="20" t="s">
        <v>8</v>
      </c>
      <c r="G888" s="43">
        <v>12.2</v>
      </c>
      <c r="H888" s="43">
        <v>14.5</v>
      </c>
      <c r="I888" s="43">
        <v>17.5</v>
      </c>
      <c r="J888" s="43">
        <v>0</v>
      </c>
      <c r="K888" s="1">
        <f t="shared" ref="K888" si="1909">(IF(F888="SELL",G888-H888,IF(F888="BUY",H888-G888)))*E888</f>
        <v>2645.0000000000009</v>
      </c>
      <c r="L888" s="43">
        <f>E888*3</f>
        <v>3450</v>
      </c>
      <c r="M888" s="43">
        <v>0</v>
      </c>
      <c r="N888" s="1">
        <f t="shared" si="1885"/>
        <v>5.3000000000000007</v>
      </c>
      <c r="O888" s="1">
        <f t="shared" si="1886"/>
        <v>6095.0000000000009</v>
      </c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  <c r="AA888" s="31"/>
      <c r="AB888" s="31"/>
      <c r="AC888" s="31"/>
      <c r="AD888" s="31"/>
      <c r="AE888" s="31"/>
      <c r="AF888" s="31"/>
      <c r="AG888" s="31"/>
    </row>
    <row r="889" spans="1:33" s="32" customFormat="1" ht="15" customHeight="1">
      <c r="A889" s="37">
        <v>43892</v>
      </c>
      <c r="B889" s="20" t="s">
        <v>413</v>
      </c>
      <c r="C889" s="20" t="s">
        <v>46</v>
      </c>
      <c r="D889" s="20">
        <v>220</v>
      </c>
      <c r="E889" s="38">
        <v>1200</v>
      </c>
      <c r="F889" s="20" t="s">
        <v>8</v>
      </c>
      <c r="G889" s="43">
        <v>4.8</v>
      </c>
      <c r="H889" s="43">
        <v>6.8</v>
      </c>
      <c r="I889" s="43">
        <v>9</v>
      </c>
      <c r="J889" s="43">
        <v>0</v>
      </c>
      <c r="K889" s="1">
        <f t="shared" ref="K889" si="1910">(IF(F889="SELL",G889-H889,IF(F889="BUY",H889-G889)))*E889</f>
        <v>2400</v>
      </c>
      <c r="L889" s="43">
        <f>E889*2.2</f>
        <v>2640</v>
      </c>
      <c r="M889" s="43">
        <v>0</v>
      </c>
      <c r="N889" s="1">
        <f t="shared" si="1885"/>
        <v>4.2</v>
      </c>
      <c r="O889" s="1">
        <f t="shared" si="1886"/>
        <v>5040</v>
      </c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  <c r="AA889" s="31"/>
      <c r="AB889" s="31"/>
      <c r="AC889" s="31"/>
      <c r="AD889" s="31"/>
      <c r="AE889" s="31"/>
      <c r="AF889" s="31"/>
      <c r="AG889" s="31"/>
    </row>
    <row r="890" spans="1:33" s="32" customFormat="1" ht="15" customHeight="1">
      <c r="A890" s="37">
        <v>43892</v>
      </c>
      <c r="B890" s="20" t="s">
        <v>367</v>
      </c>
      <c r="C890" s="20" t="s">
        <v>46</v>
      </c>
      <c r="D890" s="20">
        <v>135</v>
      </c>
      <c r="E890" s="38">
        <v>3000</v>
      </c>
      <c r="F890" s="20" t="s">
        <v>8</v>
      </c>
      <c r="G890" s="43">
        <v>6.5</v>
      </c>
      <c r="H890" s="43">
        <v>7.3</v>
      </c>
      <c r="I890" s="43">
        <v>8.3000000000000007</v>
      </c>
      <c r="J890" s="43">
        <v>10</v>
      </c>
      <c r="K890" s="1">
        <f t="shared" ref="K890" si="1911">(IF(F890="SELL",G890-H890,IF(F890="BUY",H890-G890)))*E890</f>
        <v>2399.9999999999995</v>
      </c>
      <c r="L890" s="43">
        <f>E890*1</f>
        <v>3000</v>
      </c>
      <c r="M890" s="43">
        <f>E890*1.7</f>
        <v>5100</v>
      </c>
      <c r="N890" s="1">
        <f t="shared" si="1885"/>
        <v>3.5</v>
      </c>
      <c r="O890" s="1">
        <f t="shared" si="1886"/>
        <v>10500</v>
      </c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  <c r="AA890" s="31"/>
      <c r="AB890" s="31"/>
      <c r="AC890" s="31"/>
      <c r="AD890" s="31"/>
      <c r="AE890" s="31"/>
      <c r="AF890" s="31"/>
      <c r="AG890" s="31"/>
    </row>
    <row r="891" spans="1:33" s="32" customFormat="1" ht="15" customHeight="1">
      <c r="A891" s="37">
        <v>43892</v>
      </c>
      <c r="B891" s="20" t="s">
        <v>109</v>
      </c>
      <c r="C891" s="20" t="s">
        <v>47</v>
      </c>
      <c r="D891" s="20">
        <v>227.5</v>
      </c>
      <c r="E891" s="38">
        <v>3200</v>
      </c>
      <c r="F891" s="20" t="s">
        <v>8</v>
      </c>
      <c r="G891" s="43">
        <v>6.2</v>
      </c>
      <c r="H891" s="43">
        <v>5.6</v>
      </c>
      <c r="I891" s="43">
        <v>0</v>
      </c>
      <c r="J891" s="43">
        <v>0</v>
      </c>
      <c r="K891" s="1">
        <f t="shared" ref="K891" si="1912">(IF(F891="SELL",G891-H891,IF(F891="BUY",H891-G891)))*E891</f>
        <v>-1920.0000000000018</v>
      </c>
      <c r="L891" s="43">
        <v>0</v>
      </c>
      <c r="M891" s="43">
        <v>0</v>
      </c>
      <c r="N891" s="1">
        <f t="shared" si="1885"/>
        <v>-0.60000000000000053</v>
      </c>
      <c r="O891" s="1">
        <f t="shared" si="1886"/>
        <v>-1920.0000000000018</v>
      </c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  <c r="AA891" s="31"/>
      <c r="AB891" s="31"/>
      <c r="AC891" s="31"/>
      <c r="AD891" s="31"/>
      <c r="AE891" s="31"/>
      <c r="AF891" s="31"/>
      <c r="AG891" s="31"/>
    </row>
    <row r="892" spans="1:33" s="32" customFormat="1" ht="15" customHeight="1">
      <c r="A892" s="37">
        <v>43889</v>
      </c>
      <c r="B892" s="20" t="s">
        <v>413</v>
      </c>
      <c r="C892" s="20" t="s">
        <v>46</v>
      </c>
      <c r="D892" s="20">
        <v>200</v>
      </c>
      <c r="E892" s="38">
        <v>1200</v>
      </c>
      <c r="F892" s="20" t="s">
        <v>8</v>
      </c>
      <c r="G892" s="43">
        <v>4.7</v>
      </c>
      <c r="H892" s="43">
        <v>5.0999999999999996</v>
      </c>
      <c r="I892" s="43">
        <v>4.5</v>
      </c>
      <c r="J892" s="43">
        <v>5.8</v>
      </c>
      <c r="K892" s="1">
        <f t="shared" ref="K892" si="1913">(IF(F892="SELL",G892-H892,IF(F892="BUY",H892-G892)))*E892</f>
        <v>479.99999999999937</v>
      </c>
      <c r="L892" s="43">
        <v>0</v>
      </c>
      <c r="M892" s="43">
        <v>0</v>
      </c>
      <c r="N892" s="1">
        <f t="shared" si="1885"/>
        <v>0.39999999999999947</v>
      </c>
      <c r="O892" s="1">
        <f t="shared" si="1886"/>
        <v>479.99999999999937</v>
      </c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  <c r="AA892" s="31"/>
      <c r="AB892" s="31"/>
      <c r="AC892" s="31"/>
      <c r="AD892" s="31"/>
      <c r="AE892" s="31"/>
      <c r="AF892" s="31"/>
      <c r="AG892" s="31"/>
    </row>
    <row r="893" spans="1:33" s="32" customFormat="1" ht="15" customHeight="1">
      <c r="A893" s="37">
        <v>43888</v>
      </c>
      <c r="B893" s="20" t="s">
        <v>60</v>
      </c>
      <c r="C893" s="20" t="s">
        <v>47</v>
      </c>
      <c r="D893" s="20">
        <v>105</v>
      </c>
      <c r="E893" s="38">
        <v>3500</v>
      </c>
      <c r="F893" s="20" t="s">
        <v>8</v>
      </c>
      <c r="G893" s="43">
        <v>2.7</v>
      </c>
      <c r="H893" s="43">
        <v>3.5</v>
      </c>
      <c r="I893" s="43">
        <v>4.5</v>
      </c>
      <c r="J893" s="43">
        <v>5.8</v>
      </c>
      <c r="K893" s="1">
        <f t="shared" ref="K893" si="1914">(IF(F893="SELL",G893-H893,IF(F893="BUY",H893-G893)))*E893</f>
        <v>2799.9999999999995</v>
      </c>
      <c r="L893" s="43">
        <f>E893*1</f>
        <v>3500</v>
      </c>
      <c r="M893" s="43">
        <f>E893*1.3</f>
        <v>4550</v>
      </c>
      <c r="N893" s="1">
        <f t="shared" si="1885"/>
        <v>3.1</v>
      </c>
      <c r="O893" s="1">
        <f t="shared" si="1886"/>
        <v>10850</v>
      </c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  <c r="AA893" s="31"/>
      <c r="AB893" s="31"/>
      <c r="AC893" s="31"/>
      <c r="AD893" s="31"/>
      <c r="AE893" s="31"/>
      <c r="AF893" s="31"/>
      <c r="AG893" s="31"/>
    </row>
    <row r="894" spans="1:33" s="32" customFormat="1" ht="15" customHeight="1">
      <c r="A894" s="37">
        <v>43889</v>
      </c>
      <c r="B894" s="20" t="s">
        <v>60</v>
      </c>
      <c r="C894" s="20" t="s">
        <v>46</v>
      </c>
      <c r="D894" s="20">
        <v>120</v>
      </c>
      <c r="E894" s="38">
        <v>3500</v>
      </c>
      <c r="F894" s="20" t="s">
        <v>8</v>
      </c>
      <c r="G894" s="43">
        <v>4.8</v>
      </c>
      <c r="H894" s="43">
        <v>3.8</v>
      </c>
      <c r="I894" s="43">
        <v>0</v>
      </c>
      <c r="J894" s="43">
        <v>0</v>
      </c>
      <c r="K894" s="1">
        <f t="shared" ref="K894" si="1915">(IF(F894="SELL",G894-H894,IF(F894="BUY",H894-G894)))*E894</f>
        <v>-3500</v>
      </c>
      <c r="L894" s="43">
        <v>0</v>
      </c>
      <c r="M894" s="43">
        <v>0</v>
      </c>
      <c r="N894" s="1">
        <f t="shared" si="1885"/>
        <v>-1</v>
      </c>
      <c r="O894" s="1">
        <f t="shared" si="1886"/>
        <v>-3500</v>
      </c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  <c r="AC894" s="31"/>
      <c r="AD894" s="31"/>
      <c r="AE894" s="31"/>
      <c r="AF894" s="31"/>
      <c r="AG894" s="31"/>
    </row>
    <row r="895" spans="1:33" s="32" customFormat="1" ht="15" customHeight="1">
      <c r="A895" s="37">
        <v>43888</v>
      </c>
      <c r="B895" s="20" t="s">
        <v>60</v>
      </c>
      <c r="C895" s="20" t="s">
        <v>46</v>
      </c>
      <c r="D895" s="20">
        <v>120</v>
      </c>
      <c r="E895" s="38">
        <v>3500</v>
      </c>
      <c r="F895" s="20" t="s">
        <v>8</v>
      </c>
      <c r="G895" s="43">
        <v>4.8</v>
      </c>
      <c r="H895" s="43">
        <v>3.8</v>
      </c>
      <c r="I895" s="43">
        <v>0</v>
      </c>
      <c r="J895" s="43">
        <v>0</v>
      </c>
      <c r="K895" s="1">
        <f t="shared" ref="K895" si="1916">(IF(F895="SELL",G895-H895,IF(F895="BUY",H895-G895)))*E895</f>
        <v>-3500</v>
      </c>
      <c r="L895" s="43">
        <v>0</v>
      </c>
      <c r="M895" s="43">
        <v>0</v>
      </c>
      <c r="N895" s="1">
        <f t="shared" si="1885"/>
        <v>-1</v>
      </c>
      <c r="O895" s="1">
        <f t="shared" si="1886"/>
        <v>-3500</v>
      </c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  <c r="AB895" s="31"/>
      <c r="AC895" s="31"/>
      <c r="AD895" s="31"/>
      <c r="AE895" s="31"/>
      <c r="AF895" s="31"/>
      <c r="AG895" s="31"/>
    </row>
    <row r="896" spans="1:33" s="32" customFormat="1" ht="15" customHeight="1">
      <c r="A896" s="37">
        <v>43888</v>
      </c>
      <c r="B896" s="20" t="s">
        <v>478</v>
      </c>
      <c r="C896" s="20" t="s">
        <v>484</v>
      </c>
      <c r="D896" s="20">
        <v>100</v>
      </c>
      <c r="E896" s="38">
        <v>4000</v>
      </c>
      <c r="F896" s="20" t="s">
        <v>8</v>
      </c>
      <c r="G896" s="43">
        <v>2.5</v>
      </c>
      <c r="H896" s="43">
        <v>3.05</v>
      </c>
      <c r="I896" s="43">
        <v>0</v>
      </c>
      <c r="J896" s="43">
        <v>0</v>
      </c>
      <c r="K896" s="1">
        <f t="shared" ref="K896" si="1917">(IF(F896="SELL",G896-H896,IF(F896="BUY",H896-G896)))*E896</f>
        <v>2199.9999999999991</v>
      </c>
      <c r="L896" s="43">
        <v>0</v>
      </c>
      <c r="M896" s="43">
        <v>0</v>
      </c>
      <c r="N896" s="1">
        <f t="shared" si="1885"/>
        <v>0.54999999999999982</v>
      </c>
      <c r="O896" s="1">
        <f t="shared" si="1886"/>
        <v>2199.9999999999991</v>
      </c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  <c r="AC896" s="31"/>
      <c r="AD896" s="31"/>
      <c r="AE896" s="31"/>
      <c r="AF896" s="31"/>
      <c r="AG896" s="31"/>
    </row>
    <row r="897" spans="1:33" s="32" customFormat="1" ht="15" customHeight="1">
      <c r="A897" s="37">
        <v>43888</v>
      </c>
      <c r="B897" s="20" t="s">
        <v>208</v>
      </c>
      <c r="C897" s="20" t="s">
        <v>47</v>
      </c>
      <c r="D897" s="20">
        <v>2200</v>
      </c>
      <c r="E897" s="38">
        <v>400</v>
      </c>
      <c r="F897" s="20" t="s">
        <v>8</v>
      </c>
      <c r="G897" s="43">
        <v>51</v>
      </c>
      <c r="H897" s="43">
        <v>51</v>
      </c>
      <c r="I897" s="43">
        <v>0</v>
      </c>
      <c r="J897" s="43">
        <v>0</v>
      </c>
      <c r="K897" s="1">
        <f t="shared" ref="K897" si="1918">(IF(F897="SELL",G897-H897,IF(F897="BUY",H897-G897)))*E897</f>
        <v>0</v>
      </c>
      <c r="L897" s="43">
        <v>0</v>
      </c>
      <c r="M897" s="43">
        <v>0</v>
      </c>
      <c r="N897" s="1">
        <f t="shared" si="1885"/>
        <v>0</v>
      </c>
      <c r="O897" s="1">
        <f t="shared" si="1886"/>
        <v>0</v>
      </c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1"/>
      <c r="AD897" s="31"/>
      <c r="AE897" s="31"/>
      <c r="AF897" s="31"/>
      <c r="AG897" s="31"/>
    </row>
    <row r="898" spans="1:33" s="32" customFormat="1" ht="15" customHeight="1">
      <c r="A898" s="37">
        <v>43887</v>
      </c>
      <c r="B898" s="20" t="s">
        <v>131</v>
      </c>
      <c r="C898" s="20" t="s">
        <v>47</v>
      </c>
      <c r="D898" s="20">
        <v>215</v>
      </c>
      <c r="E898" s="38">
        <v>2500</v>
      </c>
      <c r="F898" s="20" t="s">
        <v>8</v>
      </c>
      <c r="G898" s="43">
        <v>1.5</v>
      </c>
      <c r="H898" s="43">
        <v>1</v>
      </c>
      <c r="I898" s="43">
        <v>0</v>
      </c>
      <c r="J898" s="43">
        <v>0</v>
      </c>
      <c r="K898" s="1">
        <f t="shared" ref="K898" si="1919">(IF(F898="SELL",G898-H898,IF(F898="BUY",H898-G898)))*E898</f>
        <v>-1250</v>
      </c>
      <c r="L898" s="43">
        <v>0</v>
      </c>
      <c r="M898" s="43">
        <v>0</v>
      </c>
      <c r="N898" s="1">
        <f t="shared" si="1885"/>
        <v>-0.5</v>
      </c>
      <c r="O898" s="1">
        <f t="shared" si="1886"/>
        <v>-1250</v>
      </c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1"/>
      <c r="AD898" s="31"/>
      <c r="AE898" s="31"/>
      <c r="AF898" s="31"/>
      <c r="AG898" s="31"/>
    </row>
    <row r="899" spans="1:33" s="32" customFormat="1" ht="15" customHeight="1">
      <c r="A899" s="37">
        <v>43887</v>
      </c>
      <c r="B899" s="20" t="s">
        <v>21</v>
      </c>
      <c r="C899" s="20" t="s">
        <v>47</v>
      </c>
      <c r="D899" s="20">
        <v>330</v>
      </c>
      <c r="E899" s="38">
        <v>3000</v>
      </c>
      <c r="F899" s="20" t="s">
        <v>8</v>
      </c>
      <c r="G899" s="43">
        <v>3.1</v>
      </c>
      <c r="H899" s="43">
        <v>1.9</v>
      </c>
      <c r="I899" s="43">
        <v>0</v>
      </c>
      <c r="J899" s="43">
        <v>0</v>
      </c>
      <c r="K899" s="1">
        <f t="shared" ref="K899" si="1920">(IF(F899="SELL",G899-H899,IF(F899="BUY",H899-G899)))*E899</f>
        <v>-3600.0000000000005</v>
      </c>
      <c r="L899" s="43">
        <v>0</v>
      </c>
      <c r="M899" s="43">
        <v>0</v>
      </c>
      <c r="N899" s="1">
        <f t="shared" si="1885"/>
        <v>-1.2000000000000002</v>
      </c>
      <c r="O899" s="1">
        <f t="shared" si="1886"/>
        <v>-3600.0000000000005</v>
      </c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1"/>
      <c r="AD899" s="31"/>
      <c r="AE899" s="31"/>
      <c r="AF899" s="31"/>
      <c r="AG899" s="31"/>
    </row>
    <row r="900" spans="1:33" s="32" customFormat="1" ht="15" customHeight="1">
      <c r="A900" s="37">
        <v>43886</v>
      </c>
      <c r="B900" s="20" t="s">
        <v>428</v>
      </c>
      <c r="C900" s="20" t="s">
        <v>46</v>
      </c>
      <c r="D900" s="20">
        <v>2100</v>
      </c>
      <c r="E900" s="38">
        <v>400</v>
      </c>
      <c r="F900" s="20" t="s">
        <v>8</v>
      </c>
      <c r="G900" s="43">
        <v>21</v>
      </c>
      <c r="H900" s="43">
        <v>28</v>
      </c>
      <c r="I900" s="43">
        <v>0</v>
      </c>
      <c r="J900" s="43">
        <v>0</v>
      </c>
      <c r="K900" s="1">
        <f t="shared" ref="K900" si="1921">(IF(F900="SELL",G900-H900,IF(F900="BUY",H900-G900)))*E900</f>
        <v>2800</v>
      </c>
      <c r="L900" s="43">
        <v>0</v>
      </c>
      <c r="M900" s="43">
        <v>0</v>
      </c>
      <c r="N900" s="1">
        <f t="shared" si="1885"/>
        <v>7</v>
      </c>
      <c r="O900" s="1">
        <f t="shared" si="1886"/>
        <v>2800</v>
      </c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  <c r="AA900" s="31"/>
      <c r="AB900" s="31"/>
      <c r="AC900" s="31"/>
      <c r="AD900" s="31"/>
      <c r="AE900" s="31"/>
      <c r="AF900" s="31"/>
      <c r="AG900" s="31"/>
    </row>
    <row r="901" spans="1:33" s="32" customFormat="1" ht="15" customHeight="1">
      <c r="A901" s="37">
        <v>43886</v>
      </c>
      <c r="B901" s="20" t="s">
        <v>73</v>
      </c>
      <c r="C901" s="20" t="s">
        <v>46</v>
      </c>
      <c r="D901" s="20">
        <v>1280</v>
      </c>
      <c r="E901" s="38">
        <v>375</v>
      </c>
      <c r="F901" s="20" t="s">
        <v>8</v>
      </c>
      <c r="G901" s="43">
        <v>33</v>
      </c>
      <c r="H901" s="43">
        <v>38.200000000000003</v>
      </c>
      <c r="I901" s="43">
        <v>0</v>
      </c>
      <c r="J901" s="43">
        <v>0</v>
      </c>
      <c r="K901" s="1">
        <f t="shared" ref="K901" si="1922">(IF(F901="SELL",G901-H901,IF(F901="BUY",H901-G901)))*E901</f>
        <v>1950.0000000000011</v>
      </c>
      <c r="L901" s="43">
        <v>0</v>
      </c>
      <c r="M901" s="43">
        <v>0</v>
      </c>
      <c r="N901" s="1">
        <f t="shared" si="1885"/>
        <v>5.2000000000000028</v>
      </c>
      <c r="O901" s="1">
        <f t="shared" si="1886"/>
        <v>1950.0000000000011</v>
      </c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  <c r="AA901" s="31"/>
      <c r="AB901" s="31"/>
      <c r="AC901" s="31"/>
      <c r="AD901" s="31"/>
      <c r="AE901" s="31"/>
      <c r="AF901" s="31"/>
      <c r="AG901" s="31"/>
    </row>
    <row r="902" spans="1:33" s="32" customFormat="1" ht="15" customHeight="1">
      <c r="A902" s="37">
        <v>43885</v>
      </c>
      <c r="B902" s="20" t="s">
        <v>63</v>
      </c>
      <c r="C902" s="20" t="s">
        <v>47</v>
      </c>
      <c r="D902" s="20">
        <v>225</v>
      </c>
      <c r="E902" s="38">
        <v>2100</v>
      </c>
      <c r="F902" s="20" t="s">
        <v>8</v>
      </c>
      <c r="G902" s="43">
        <v>6.8</v>
      </c>
      <c r="H902" s="43">
        <v>7.8</v>
      </c>
      <c r="I902" s="43">
        <v>9</v>
      </c>
      <c r="J902" s="43">
        <v>10.5</v>
      </c>
      <c r="K902" s="1">
        <f t="shared" ref="K902" si="1923">(IF(F902="SELL",G902-H902,IF(F902="BUY",H902-G902)))*E902</f>
        <v>2100</v>
      </c>
      <c r="L902" s="43">
        <f>E902*1.2</f>
        <v>2520</v>
      </c>
      <c r="M902" s="43">
        <f>E902*1.4</f>
        <v>2940</v>
      </c>
      <c r="N902" s="1">
        <f t="shared" si="1885"/>
        <v>3.6</v>
      </c>
      <c r="O902" s="1">
        <f t="shared" si="1886"/>
        <v>7560</v>
      </c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  <c r="AA902" s="31"/>
      <c r="AB902" s="31"/>
      <c r="AC902" s="31"/>
      <c r="AD902" s="31"/>
      <c r="AE902" s="31"/>
      <c r="AF902" s="31"/>
      <c r="AG902" s="31"/>
    </row>
    <row r="903" spans="1:33" s="32" customFormat="1" ht="15" customHeight="1">
      <c r="A903" s="37">
        <v>43885</v>
      </c>
      <c r="B903" s="20" t="s">
        <v>429</v>
      </c>
      <c r="C903" s="20" t="s">
        <v>47</v>
      </c>
      <c r="D903" s="20">
        <v>1340</v>
      </c>
      <c r="E903" s="38">
        <v>600</v>
      </c>
      <c r="F903" s="20" t="s">
        <v>8</v>
      </c>
      <c r="G903" s="43">
        <v>14</v>
      </c>
      <c r="H903" s="43">
        <v>9</v>
      </c>
      <c r="I903" s="43">
        <v>0</v>
      </c>
      <c r="J903" s="43">
        <v>0</v>
      </c>
      <c r="K903" s="1">
        <f t="shared" ref="K903" si="1924">(IF(F903="SELL",G903-H903,IF(F903="BUY",H903-G903)))*E903</f>
        <v>-3000</v>
      </c>
      <c r="L903" s="43">
        <v>0</v>
      </c>
      <c r="M903" s="43">
        <v>0</v>
      </c>
      <c r="N903" s="1">
        <f t="shared" si="1885"/>
        <v>-5</v>
      </c>
      <c r="O903" s="1">
        <f t="shared" si="1886"/>
        <v>-3000</v>
      </c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  <c r="AA903" s="31"/>
      <c r="AB903" s="31"/>
      <c r="AC903" s="31"/>
      <c r="AD903" s="31"/>
      <c r="AE903" s="31"/>
      <c r="AF903" s="31"/>
      <c r="AG903" s="31"/>
    </row>
    <row r="904" spans="1:33" s="32" customFormat="1" ht="15" customHeight="1">
      <c r="A904" s="37">
        <v>43885</v>
      </c>
      <c r="B904" s="20" t="s">
        <v>18</v>
      </c>
      <c r="C904" s="20" t="s">
        <v>46</v>
      </c>
      <c r="D904" s="20">
        <v>430</v>
      </c>
      <c r="E904" s="38">
        <v>1150</v>
      </c>
      <c r="F904" s="20" t="s">
        <v>8</v>
      </c>
      <c r="G904" s="43">
        <v>7</v>
      </c>
      <c r="H904" s="43">
        <v>4.5</v>
      </c>
      <c r="I904" s="43">
        <v>0</v>
      </c>
      <c r="J904" s="43">
        <v>0</v>
      </c>
      <c r="K904" s="1">
        <f t="shared" ref="K904" si="1925">(IF(F904="SELL",G904-H904,IF(F904="BUY",H904-G904)))*E904</f>
        <v>-2875</v>
      </c>
      <c r="L904" s="43">
        <v>0</v>
      </c>
      <c r="M904" s="43">
        <v>0</v>
      </c>
      <c r="N904" s="1">
        <f t="shared" si="1885"/>
        <v>-2.5</v>
      </c>
      <c r="O904" s="1">
        <f t="shared" si="1886"/>
        <v>-2875</v>
      </c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  <c r="AA904" s="31"/>
      <c r="AB904" s="31"/>
      <c r="AC904" s="31"/>
      <c r="AD904" s="31"/>
      <c r="AE904" s="31"/>
      <c r="AF904" s="31"/>
      <c r="AG904" s="31"/>
    </row>
    <row r="905" spans="1:33" s="32" customFormat="1" ht="15" customHeight="1">
      <c r="A905" s="37">
        <v>43881</v>
      </c>
      <c r="B905" s="20" t="s">
        <v>336</v>
      </c>
      <c r="C905" s="20" t="s">
        <v>47</v>
      </c>
      <c r="D905" s="20">
        <v>1340</v>
      </c>
      <c r="E905" s="38">
        <v>800</v>
      </c>
      <c r="F905" s="20" t="s">
        <v>8</v>
      </c>
      <c r="G905" s="43">
        <v>8</v>
      </c>
      <c r="H905" s="43">
        <v>5</v>
      </c>
      <c r="I905" s="43">
        <v>0</v>
      </c>
      <c r="J905" s="43">
        <v>0</v>
      </c>
      <c r="K905" s="1">
        <f t="shared" ref="K905" si="1926">(IF(F905="SELL",G905-H905,IF(F905="BUY",H905-G905)))*E905</f>
        <v>-2400</v>
      </c>
      <c r="L905" s="43">
        <v>0</v>
      </c>
      <c r="M905" s="43">
        <v>0</v>
      </c>
      <c r="N905" s="1">
        <f t="shared" si="1885"/>
        <v>-3</v>
      </c>
      <c r="O905" s="1">
        <f t="shared" si="1886"/>
        <v>-2400</v>
      </c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  <c r="AA905" s="31"/>
      <c r="AB905" s="31"/>
      <c r="AC905" s="31"/>
      <c r="AD905" s="31"/>
      <c r="AE905" s="31"/>
      <c r="AF905" s="31"/>
      <c r="AG905" s="31"/>
    </row>
    <row r="906" spans="1:33" s="32" customFormat="1" ht="15" customHeight="1">
      <c r="A906" s="37">
        <v>43881</v>
      </c>
      <c r="B906" s="20" t="s">
        <v>20</v>
      </c>
      <c r="C906" s="20" t="s">
        <v>47</v>
      </c>
      <c r="D906" s="20">
        <v>810</v>
      </c>
      <c r="E906" s="38">
        <v>1200</v>
      </c>
      <c r="F906" s="20" t="s">
        <v>8</v>
      </c>
      <c r="G906" s="43">
        <v>7</v>
      </c>
      <c r="H906" s="43">
        <v>4.8</v>
      </c>
      <c r="I906" s="43">
        <v>0</v>
      </c>
      <c r="J906" s="43">
        <v>0</v>
      </c>
      <c r="K906" s="1">
        <f t="shared" ref="K906" si="1927">(IF(F906="SELL",G906-H906,IF(F906="BUY",H906-G906)))*E906</f>
        <v>-2640</v>
      </c>
      <c r="L906" s="43">
        <v>0</v>
      </c>
      <c r="M906" s="43">
        <v>0</v>
      </c>
      <c r="N906" s="1">
        <f t="shared" si="1885"/>
        <v>-2.2000000000000002</v>
      </c>
      <c r="O906" s="1">
        <f t="shared" si="1886"/>
        <v>-2640</v>
      </c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  <c r="AA906" s="31"/>
      <c r="AB906" s="31"/>
      <c r="AC906" s="31"/>
      <c r="AD906" s="31"/>
      <c r="AE906" s="31"/>
      <c r="AF906" s="31"/>
      <c r="AG906" s="31"/>
    </row>
    <row r="907" spans="1:33" s="32" customFormat="1" ht="15" customHeight="1">
      <c r="A907" s="37">
        <v>43881</v>
      </c>
      <c r="B907" s="20" t="s">
        <v>116</v>
      </c>
      <c r="C907" s="20" t="s">
        <v>47</v>
      </c>
      <c r="D907" s="20">
        <v>255</v>
      </c>
      <c r="E907" s="38">
        <v>4000</v>
      </c>
      <c r="F907" s="20" t="s">
        <v>8</v>
      </c>
      <c r="G907" s="43">
        <v>5</v>
      </c>
      <c r="H907" s="43">
        <v>5.7</v>
      </c>
      <c r="I907" s="43">
        <v>6.7</v>
      </c>
      <c r="J907" s="43">
        <v>7.7</v>
      </c>
      <c r="K907" s="1">
        <f t="shared" ref="K907" si="1928">(IF(F907="SELL",G907-H907,IF(F907="BUY",H907-G907)))*E907</f>
        <v>2800.0000000000009</v>
      </c>
      <c r="L907" s="43">
        <v>4000</v>
      </c>
      <c r="M907" s="43">
        <v>4000</v>
      </c>
      <c r="N907" s="1">
        <f t="shared" si="1885"/>
        <v>2.7</v>
      </c>
      <c r="O907" s="1">
        <f t="shared" si="1886"/>
        <v>10800</v>
      </c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1"/>
      <c r="AD907" s="31"/>
      <c r="AE907" s="31"/>
      <c r="AF907" s="31"/>
      <c r="AG907" s="31"/>
    </row>
    <row r="908" spans="1:33" s="32" customFormat="1" ht="15" customHeight="1">
      <c r="A908" s="37">
        <v>43880</v>
      </c>
      <c r="B908" s="20" t="s">
        <v>386</v>
      </c>
      <c r="C908" s="20" t="s">
        <v>47</v>
      </c>
      <c r="D908" s="20">
        <v>1340</v>
      </c>
      <c r="E908" s="38">
        <v>750</v>
      </c>
      <c r="F908" s="20" t="s">
        <v>8</v>
      </c>
      <c r="G908" s="43">
        <v>11</v>
      </c>
      <c r="H908" s="43">
        <v>14</v>
      </c>
      <c r="I908" s="43">
        <v>16</v>
      </c>
      <c r="J908" s="43">
        <v>0</v>
      </c>
      <c r="K908" s="1">
        <f t="shared" ref="K908" si="1929">(IF(F908="SELL",G908-H908,IF(F908="BUY",H908-G908)))*E908</f>
        <v>2250</v>
      </c>
      <c r="L908" s="43">
        <v>1500</v>
      </c>
      <c r="M908" s="43">
        <v>0</v>
      </c>
      <c r="N908" s="1">
        <f t="shared" si="1885"/>
        <v>5</v>
      </c>
      <c r="O908" s="1">
        <f t="shared" si="1886"/>
        <v>3750</v>
      </c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1"/>
      <c r="AD908" s="31"/>
      <c r="AE908" s="31"/>
      <c r="AF908" s="31"/>
      <c r="AG908" s="31"/>
    </row>
    <row r="909" spans="1:33" s="32" customFormat="1" ht="15" customHeight="1">
      <c r="A909" s="37">
        <v>43880</v>
      </c>
      <c r="B909" s="20" t="s">
        <v>109</v>
      </c>
      <c r="C909" s="20" t="s">
        <v>47</v>
      </c>
      <c r="D909" s="20">
        <v>245</v>
      </c>
      <c r="E909" s="38">
        <v>2600</v>
      </c>
      <c r="F909" s="20" t="s">
        <v>8</v>
      </c>
      <c r="G909" s="43">
        <v>4.5999999999999996</v>
      </c>
      <c r="H909" s="43">
        <v>5.3</v>
      </c>
      <c r="I909" s="43">
        <v>0</v>
      </c>
      <c r="J909" s="43">
        <v>0</v>
      </c>
      <c r="K909" s="1">
        <f t="shared" ref="K909" si="1930">(IF(F909="SELL",G909-H909,IF(F909="BUY",H909-G909)))*E909</f>
        <v>1820.0000000000005</v>
      </c>
      <c r="L909" s="43">
        <v>0</v>
      </c>
      <c r="M909" s="43">
        <v>0</v>
      </c>
      <c r="N909" s="1">
        <f t="shared" si="1885"/>
        <v>0.70000000000000018</v>
      </c>
      <c r="O909" s="1">
        <f t="shared" si="1886"/>
        <v>1820.0000000000005</v>
      </c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1"/>
      <c r="AD909" s="31"/>
      <c r="AE909" s="31"/>
      <c r="AF909" s="31"/>
      <c r="AG909" s="31"/>
    </row>
    <row r="910" spans="1:33" s="32" customFormat="1" ht="15" customHeight="1">
      <c r="A910" s="37">
        <v>43879</v>
      </c>
      <c r="B910" s="20" t="s">
        <v>483</v>
      </c>
      <c r="C910" s="20" t="s">
        <v>46</v>
      </c>
      <c r="D910" s="20">
        <v>460</v>
      </c>
      <c r="E910" s="38">
        <v>1400</v>
      </c>
      <c r="F910" s="20" t="s">
        <v>8</v>
      </c>
      <c r="G910" s="43">
        <v>8</v>
      </c>
      <c r="H910" s="43">
        <v>6</v>
      </c>
      <c r="I910" s="43">
        <v>6.7</v>
      </c>
      <c r="J910" s="43">
        <v>0</v>
      </c>
      <c r="K910" s="1">
        <f t="shared" ref="K910" si="1931">(IF(F910="SELL",G910-H910,IF(F910="BUY",H910-G910)))*E910</f>
        <v>-2800</v>
      </c>
      <c r="L910" s="43">
        <v>0</v>
      </c>
      <c r="M910" s="43">
        <v>0</v>
      </c>
      <c r="N910" s="1">
        <f t="shared" si="1885"/>
        <v>-2</v>
      </c>
      <c r="O910" s="1">
        <f t="shared" si="1886"/>
        <v>-2800</v>
      </c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  <c r="AA910" s="31"/>
      <c r="AB910" s="31"/>
      <c r="AC910" s="31"/>
      <c r="AD910" s="31"/>
      <c r="AE910" s="31"/>
      <c r="AF910" s="31"/>
      <c r="AG910" s="31"/>
    </row>
    <row r="911" spans="1:33" s="32" customFormat="1" ht="15" customHeight="1">
      <c r="A911" s="37">
        <v>43879</v>
      </c>
      <c r="B911" s="20" t="s">
        <v>75</v>
      </c>
      <c r="C911" s="20" t="s">
        <v>48</v>
      </c>
      <c r="D911" s="20">
        <v>1760</v>
      </c>
      <c r="E911" s="38">
        <v>500</v>
      </c>
      <c r="F911" s="20" t="s">
        <v>8</v>
      </c>
      <c r="G911" s="43">
        <v>23.5</v>
      </c>
      <c r="H911" s="43">
        <v>28.5</v>
      </c>
      <c r="I911" s="43">
        <v>33.5</v>
      </c>
      <c r="J911" s="43">
        <v>0</v>
      </c>
      <c r="K911" s="1">
        <f t="shared" ref="K911" si="1932">(IF(F911="SELL",G911-H911,IF(F911="BUY",H911-G911)))*E911</f>
        <v>2500</v>
      </c>
      <c r="L911" s="43">
        <f>E911*5</f>
        <v>2500</v>
      </c>
      <c r="M911" s="43">
        <f>E911*6.5</f>
        <v>3250</v>
      </c>
      <c r="N911" s="1">
        <f t="shared" si="1885"/>
        <v>16.5</v>
      </c>
      <c r="O911" s="1">
        <f t="shared" si="1886"/>
        <v>8250</v>
      </c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  <c r="AA911" s="31"/>
      <c r="AB911" s="31"/>
      <c r="AC911" s="31"/>
      <c r="AD911" s="31"/>
      <c r="AE911" s="31"/>
      <c r="AF911" s="31"/>
      <c r="AG911" s="31"/>
    </row>
    <row r="912" spans="1:33" s="32" customFormat="1" ht="15" customHeight="1">
      <c r="A912" s="37">
        <v>43879</v>
      </c>
      <c r="B912" s="20" t="s">
        <v>369</v>
      </c>
      <c r="C912" s="20" t="s">
        <v>48</v>
      </c>
      <c r="D912" s="20">
        <v>170</v>
      </c>
      <c r="E912" s="38">
        <v>2600</v>
      </c>
      <c r="F912" s="20" t="s">
        <v>8</v>
      </c>
      <c r="G912" s="43">
        <v>4.9000000000000004</v>
      </c>
      <c r="H912" s="43">
        <v>5.9</v>
      </c>
      <c r="I912" s="43">
        <v>0</v>
      </c>
      <c r="J912" s="43">
        <v>0</v>
      </c>
      <c r="K912" s="1">
        <f t="shared" ref="K912" si="1933">(IF(F912="SELL",G912-H912,IF(F912="BUY",H912-G912)))*E912</f>
        <v>2600</v>
      </c>
      <c r="L912" s="43">
        <v>0</v>
      </c>
      <c r="M912" s="43">
        <v>0</v>
      </c>
      <c r="N912" s="1">
        <f t="shared" si="1885"/>
        <v>1</v>
      </c>
      <c r="O912" s="1">
        <f t="shared" si="1886"/>
        <v>2600</v>
      </c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  <c r="AA912" s="31"/>
      <c r="AB912" s="31"/>
      <c r="AC912" s="31"/>
      <c r="AD912" s="31"/>
      <c r="AE912" s="31"/>
      <c r="AF912" s="31"/>
      <c r="AG912" s="31"/>
    </row>
    <row r="913" spans="1:33" s="32" customFormat="1" ht="15" customHeight="1">
      <c r="A913" s="37">
        <v>43878</v>
      </c>
      <c r="B913" s="20" t="s">
        <v>473</v>
      </c>
      <c r="C913" s="20" t="s">
        <v>48</v>
      </c>
      <c r="D913" s="20">
        <v>210</v>
      </c>
      <c r="E913" s="38">
        <v>2400</v>
      </c>
      <c r="F913" s="20" t="s">
        <v>8</v>
      </c>
      <c r="G913" s="43">
        <v>4.9000000000000004</v>
      </c>
      <c r="H913" s="43">
        <v>5.7</v>
      </c>
      <c r="I913" s="43">
        <v>6.7</v>
      </c>
      <c r="J913" s="43">
        <v>0</v>
      </c>
      <c r="K913" s="1">
        <f t="shared" ref="K913" si="1934">(IF(F913="SELL",G913-H913,IF(F913="BUY",H913-G913)))*E913</f>
        <v>1919.9999999999995</v>
      </c>
      <c r="L913" s="43">
        <f>E913*1</f>
        <v>2400</v>
      </c>
      <c r="M913" s="43">
        <v>0</v>
      </c>
      <c r="N913" s="1">
        <f t="shared" si="1885"/>
        <v>1.8</v>
      </c>
      <c r="O913" s="1">
        <f t="shared" si="1886"/>
        <v>4320</v>
      </c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  <c r="AA913" s="31"/>
      <c r="AB913" s="31"/>
      <c r="AC913" s="31"/>
      <c r="AD913" s="31"/>
      <c r="AE913" s="31"/>
      <c r="AF913" s="31"/>
      <c r="AG913" s="31"/>
    </row>
    <row r="914" spans="1:33" s="32" customFormat="1" ht="15" customHeight="1">
      <c r="A914" s="37">
        <v>43878</v>
      </c>
      <c r="B914" s="20" t="s">
        <v>404</v>
      </c>
      <c r="C914" s="20" t="s">
        <v>46</v>
      </c>
      <c r="D914" s="20">
        <v>139</v>
      </c>
      <c r="E914" s="38">
        <v>6000</v>
      </c>
      <c r="F914" s="20" t="s">
        <v>8</v>
      </c>
      <c r="G914" s="43">
        <v>3</v>
      </c>
      <c r="H914" s="43">
        <v>3.2</v>
      </c>
      <c r="I914" s="43">
        <v>0</v>
      </c>
      <c r="J914" s="43">
        <v>0</v>
      </c>
      <c r="K914" s="1">
        <f t="shared" ref="K914" si="1935">(IF(F914="SELL",G914-H914,IF(F914="BUY",H914-G914)))*E914</f>
        <v>1200.0000000000011</v>
      </c>
      <c r="L914" s="43">
        <v>0</v>
      </c>
      <c r="M914" s="43">
        <v>0</v>
      </c>
      <c r="N914" s="1">
        <f t="shared" si="1885"/>
        <v>0.20000000000000018</v>
      </c>
      <c r="O914" s="1">
        <f t="shared" si="1886"/>
        <v>1200.0000000000011</v>
      </c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  <c r="AA914" s="31"/>
      <c r="AB914" s="31"/>
      <c r="AC914" s="31"/>
      <c r="AD914" s="31"/>
      <c r="AE914" s="31"/>
      <c r="AF914" s="31"/>
      <c r="AG914" s="31"/>
    </row>
    <row r="915" spans="1:33" s="32" customFormat="1" ht="15" customHeight="1">
      <c r="A915" s="37">
        <v>43875</v>
      </c>
      <c r="B915" s="20" t="s">
        <v>208</v>
      </c>
      <c r="C915" s="20" t="s">
        <v>48</v>
      </c>
      <c r="D915" s="20">
        <v>2200</v>
      </c>
      <c r="E915" s="38">
        <v>400</v>
      </c>
      <c r="F915" s="20" t="s">
        <v>8</v>
      </c>
      <c r="G915" s="43">
        <v>27</v>
      </c>
      <c r="H915" s="43">
        <v>31</v>
      </c>
      <c r="I915" s="43">
        <v>35</v>
      </c>
      <c r="J915" s="43">
        <v>0</v>
      </c>
      <c r="K915" s="1">
        <f t="shared" ref="K915" si="1936">(IF(F915="SELL",G915-H915,IF(F915="BUY",H915-G915)))*E915</f>
        <v>1600</v>
      </c>
      <c r="L915" s="43">
        <v>1500</v>
      </c>
      <c r="M915" s="43">
        <v>0</v>
      </c>
      <c r="N915" s="1">
        <f t="shared" si="1885"/>
        <v>7.75</v>
      </c>
      <c r="O915" s="1">
        <f t="shared" si="1886"/>
        <v>3100</v>
      </c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  <c r="AA915" s="31"/>
      <c r="AB915" s="31"/>
      <c r="AC915" s="31"/>
      <c r="AD915" s="31"/>
      <c r="AE915" s="31"/>
      <c r="AF915" s="31"/>
      <c r="AG915" s="31"/>
    </row>
    <row r="916" spans="1:33" s="32" customFormat="1" ht="15" customHeight="1">
      <c r="A916" s="37">
        <v>43875</v>
      </c>
      <c r="B916" s="20" t="s">
        <v>369</v>
      </c>
      <c r="C916" s="20" t="s">
        <v>48</v>
      </c>
      <c r="D916" s="20">
        <v>180</v>
      </c>
      <c r="E916" s="38">
        <v>2600</v>
      </c>
      <c r="F916" s="20" t="s">
        <v>8</v>
      </c>
      <c r="G916" s="43">
        <v>5.4</v>
      </c>
      <c r="H916" s="43">
        <v>6.4</v>
      </c>
      <c r="I916" s="43">
        <v>0</v>
      </c>
      <c r="J916" s="43">
        <v>0</v>
      </c>
      <c r="K916" s="1">
        <f t="shared" ref="K916" si="1937">(IF(F916="SELL",G916-H916,IF(F916="BUY",H916-G916)))*E916</f>
        <v>2600</v>
      </c>
      <c r="L916" s="43">
        <v>0</v>
      </c>
      <c r="M916" s="43">
        <v>0</v>
      </c>
      <c r="N916" s="1">
        <f t="shared" si="1885"/>
        <v>1</v>
      </c>
      <c r="O916" s="1">
        <f t="shared" si="1886"/>
        <v>2600</v>
      </c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  <c r="AA916" s="31"/>
      <c r="AB916" s="31"/>
      <c r="AC916" s="31"/>
      <c r="AD916" s="31"/>
      <c r="AE916" s="31"/>
      <c r="AF916" s="31"/>
      <c r="AG916" s="31"/>
    </row>
    <row r="917" spans="1:33" s="32" customFormat="1" ht="15" customHeight="1">
      <c r="A917" s="37">
        <v>43875</v>
      </c>
      <c r="B917" s="20" t="s">
        <v>421</v>
      </c>
      <c r="C917" s="20" t="s">
        <v>48</v>
      </c>
      <c r="D917" s="20">
        <v>340</v>
      </c>
      <c r="E917" s="38">
        <v>3000</v>
      </c>
      <c r="F917" s="20" t="s">
        <v>8</v>
      </c>
      <c r="G917" s="43">
        <v>4.9000000000000004</v>
      </c>
      <c r="H917" s="43">
        <v>3.9</v>
      </c>
      <c r="I917" s="43">
        <v>0</v>
      </c>
      <c r="J917" s="43">
        <v>0</v>
      </c>
      <c r="K917" s="1">
        <f t="shared" ref="K917" si="1938">(IF(F917="SELL",G917-H917,IF(F917="BUY",H917-G917)))*E917</f>
        <v>-3000.0000000000014</v>
      </c>
      <c r="L917" s="43">
        <v>0</v>
      </c>
      <c r="M917" s="43">
        <v>0</v>
      </c>
      <c r="N917" s="1">
        <f t="shared" si="1885"/>
        <v>-1.0000000000000004</v>
      </c>
      <c r="O917" s="1">
        <f t="shared" si="1886"/>
        <v>-3000.0000000000014</v>
      </c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1"/>
      <c r="AD917" s="31"/>
      <c r="AE917" s="31"/>
      <c r="AF917" s="31"/>
      <c r="AG917" s="31"/>
    </row>
    <row r="918" spans="1:33" s="32" customFormat="1" ht="15" customHeight="1">
      <c r="A918" s="37">
        <v>43874</v>
      </c>
      <c r="B918" s="20" t="s">
        <v>477</v>
      </c>
      <c r="C918" s="20" t="s">
        <v>48</v>
      </c>
      <c r="D918" s="20">
        <v>400</v>
      </c>
      <c r="E918" s="38">
        <v>1700</v>
      </c>
      <c r="F918" s="20" t="s">
        <v>8</v>
      </c>
      <c r="G918" s="43">
        <v>7.25</v>
      </c>
      <c r="H918" s="43">
        <v>8</v>
      </c>
      <c r="I918" s="43">
        <v>0</v>
      </c>
      <c r="J918" s="43">
        <v>0</v>
      </c>
      <c r="K918" s="1">
        <f t="shared" ref="K918" si="1939">(IF(F918="SELL",G918-H918,IF(F918="BUY",H918-G918)))*E918</f>
        <v>1275</v>
      </c>
      <c r="L918" s="43">
        <v>0</v>
      </c>
      <c r="M918" s="43">
        <v>0</v>
      </c>
      <c r="N918" s="1">
        <f t="shared" si="1885"/>
        <v>0.75</v>
      </c>
      <c r="O918" s="1">
        <f t="shared" si="1886"/>
        <v>1275</v>
      </c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  <c r="AB918" s="31"/>
      <c r="AC918" s="31"/>
      <c r="AD918" s="31"/>
      <c r="AE918" s="31"/>
      <c r="AF918" s="31"/>
      <c r="AG918" s="31"/>
    </row>
    <row r="919" spans="1:33" s="32" customFormat="1" ht="15" customHeight="1">
      <c r="A919" s="37">
        <v>43874</v>
      </c>
      <c r="B919" s="20" t="s">
        <v>21</v>
      </c>
      <c r="C919" s="20" t="s">
        <v>48</v>
      </c>
      <c r="D919" s="20">
        <v>345</v>
      </c>
      <c r="E919" s="38">
        <v>3000</v>
      </c>
      <c r="F919" s="20" t="s">
        <v>8</v>
      </c>
      <c r="G919" s="43">
        <v>3.5</v>
      </c>
      <c r="H919" s="43">
        <v>3</v>
      </c>
      <c r="I919" s="43">
        <v>0</v>
      </c>
      <c r="J919" s="43">
        <v>0</v>
      </c>
      <c r="K919" s="1">
        <f t="shared" ref="K919" si="1940">(IF(F919="SELL",G919-H919,IF(F919="BUY",H919-G919)))*E919</f>
        <v>-1500</v>
      </c>
      <c r="L919" s="43">
        <v>0</v>
      </c>
      <c r="M919" s="43">
        <v>0</v>
      </c>
      <c r="N919" s="1">
        <f t="shared" si="1885"/>
        <v>-0.5</v>
      </c>
      <c r="O919" s="1">
        <f t="shared" si="1886"/>
        <v>-1500</v>
      </c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1"/>
      <c r="AD919" s="31"/>
      <c r="AE919" s="31"/>
      <c r="AF919" s="31"/>
      <c r="AG919" s="31"/>
    </row>
    <row r="920" spans="1:33" s="32" customFormat="1" ht="15" customHeight="1">
      <c r="A920" s="37">
        <v>43874</v>
      </c>
      <c r="B920" s="20" t="s">
        <v>479</v>
      </c>
      <c r="C920" s="20" t="s">
        <v>46</v>
      </c>
      <c r="D920" s="20">
        <v>1300</v>
      </c>
      <c r="E920" s="38">
        <v>500</v>
      </c>
      <c r="F920" s="20" t="s">
        <v>8</v>
      </c>
      <c r="G920" s="43">
        <v>11.5</v>
      </c>
      <c r="H920" s="43">
        <v>11.5</v>
      </c>
      <c r="I920" s="43">
        <v>0</v>
      </c>
      <c r="J920" s="43">
        <v>0</v>
      </c>
      <c r="K920" s="1">
        <f t="shared" ref="K920" si="1941">(IF(F920="SELL",G920-H920,IF(F920="BUY",H920-G920)))*E920</f>
        <v>0</v>
      </c>
      <c r="L920" s="43">
        <v>0</v>
      </c>
      <c r="M920" s="43">
        <v>0</v>
      </c>
      <c r="N920" s="1">
        <f t="shared" si="1885"/>
        <v>0</v>
      </c>
      <c r="O920" s="1">
        <f t="shared" si="1886"/>
        <v>0</v>
      </c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  <c r="AA920" s="31"/>
      <c r="AB920" s="31"/>
      <c r="AC920" s="31"/>
      <c r="AD920" s="31"/>
      <c r="AE920" s="31"/>
      <c r="AF920" s="31"/>
      <c r="AG920" s="31"/>
    </row>
    <row r="921" spans="1:33" s="32" customFormat="1" ht="15" customHeight="1">
      <c r="A921" s="37">
        <v>43873</v>
      </c>
      <c r="B921" s="20" t="s">
        <v>448</v>
      </c>
      <c r="C921" s="20" t="s">
        <v>48</v>
      </c>
      <c r="D921" s="20">
        <v>1600</v>
      </c>
      <c r="E921" s="38">
        <v>500</v>
      </c>
      <c r="F921" s="20" t="s">
        <v>8</v>
      </c>
      <c r="G921" s="43">
        <v>27.5</v>
      </c>
      <c r="H921" s="43">
        <v>24.5</v>
      </c>
      <c r="I921" s="43">
        <v>0</v>
      </c>
      <c r="J921" s="43">
        <v>0</v>
      </c>
      <c r="K921" s="1">
        <f t="shared" ref="K921" si="1942">(IF(F921="SELL",G921-H921,IF(F921="BUY",H921-G921)))*E921</f>
        <v>-1500</v>
      </c>
      <c r="L921" s="43">
        <v>0</v>
      </c>
      <c r="M921" s="43">
        <v>0</v>
      </c>
      <c r="N921" s="1">
        <f t="shared" si="1885"/>
        <v>-3</v>
      </c>
      <c r="O921" s="1">
        <f t="shared" si="1886"/>
        <v>-1500</v>
      </c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  <c r="AA921" s="31"/>
      <c r="AB921" s="31"/>
      <c r="AC921" s="31"/>
      <c r="AD921" s="31"/>
      <c r="AE921" s="31"/>
      <c r="AF921" s="31"/>
      <c r="AG921" s="31"/>
    </row>
    <row r="922" spans="1:33" s="32" customFormat="1" ht="15" customHeight="1">
      <c r="A922" s="37">
        <v>43873</v>
      </c>
      <c r="B922" s="20" t="s">
        <v>37</v>
      </c>
      <c r="C922" s="20" t="s">
        <v>48</v>
      </c>
      <c r="D922" s="20">
        <v>2160</v>
      </c>
      <c r="E922" s="38">
        <v>250</v>
      </c>
      <c r="F922" s="20" t="s">
        <v>8</v>
      </c>
      <c r="G922" s="43">
        <v>50</v>
      </c>
      <c r="H922" s="43">
        <v>46</v>
      </c>
      <c r="I922" s="43">
        <v>0</v>
      </c>
      <c r="J922" s="43">
        <v>0</v>
      </c>
      <c r="K922" s="1">
        <f t="shared" ref="K922" si="1943">(IF(F922="SELL",G922-H922,IF(F922="BUY",H922-G922)))*E922</f>
        <v>-1000</v>
      </c>
      <c r="L922" s="43">
        <v>0</v>
      </c>
      <c r="M922" s="43">
        <v>0</v>
      </c>
      <c r="N922" s="1">
        <f t="shared" si="1885"/>
        <v>-4</v>
      </c>
      <c r="O922" s="1">
        <f t="shared" si="1886"/>
        <v>-1000</v>
      </c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  <c r="AA922" s="31"/>
      <c r="AB922" s="31"/>
      <c r="AC922" s="31"/>
      <c r="AD922" s="31"/>
      <c r="AE922" s="31"/>
      <c r="AF922" s="31"/>
      <c r="AG922" s="31"/>
    </row>
    <row r="923" spans="1:33" s="32" customFormat="1" ht="15" customHeight="1">
      <c r="A923" s="37">
        <v>43873</v>
      </c>
      <c r="B923" s="20" t="s">
        <v>193</v>
      </c>
      <c r="C923" s="20" t="s">
        <v>48</v>
      </c>
      <c r="D923" s="20">
        <v>650</v>
      </c>
      <c r="E923" s="38">
        <v>2750</v>
      </c>
      <c r="F923" s="20" t="s">
        <v>8</v>
      </c>
      <c r="G923" s="43">
        <v>5.0999999999999996</v>
      </c>
      <c r="H923" s="43">
        <v>5.8</v>
      </c>
      <c r="I923" s="43">
        <v>6.8</v>
      </c>
      <c r="J923" s="43">
        <v>0</v>
      </c>
      <c r="K923" s="1">
        <f t="shared" ref="K923" si="1944">(IF(F923="SELL",G923-H923,IF(F923="BUY",H923-G923)))*E923</f>
        <v>1925.0000000000005</v>
      </c>
      <c r="L923" s="43">
        <v>2750</v>
      </c>
      <c r="M923" s="43">
        <v>0</v>
      </c>
      <c r="N923" s="1">
        <f t="shared" si="1885"/>
        <v>1.7</v>
      </c>
      <c r="O923" s="1">
        <f t="shared" si="1886"/>
        <v>4675</v>
      </c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  <c r="AA923" s="31"/>
      <c r="AB923" s="31"/>
      <c r="AC923" s="31"/>
      <c r="AD923" s="31"/>
      <c r="AE923" s="31"/>
      <c r="AF923" s="31"/>
      <c r="AG923" s="31"/>
    </row>
    <row r="924" spans="1:33" s="32" customFormat="1" ht="15" customHeight="1">
      <c r="A924" s="37">
        <v>43872</v>
      </c>
      <c r="B924" s="20" t="s">
        <v>75</v>
      </c>
      <c r="C924" s="20" t="s">
        <v>48</v>
      </c>
      <c r="D924" s="20">
        <v>1700</v>
      </c>
      <c r="E924" s="38">
        <v>500</v>
      </c>
      <c r="F924" s="20" t="s">
        <v>8</v>
      </c>
      <c r="G924" s="43">
        <v>48</v>
      </c>
      <c r="H924" s="43">
        <v>53</v>
      </c>
      <c r="I924" s="43">
        <v>0</v>
      </c>
      <c r="J924" s="43">
        <v>0</v>
      </c>
      <c r="K924" s="1">
        <f t="shared" ref="K924" si="1945">(IF(F924="SELL",G924-H924,IF(F924="BUY",H924-G924)))*E924</f>
        <v>2500</v>
      </c>
      <c r="L924" s="43">
        <v>0</v>
      </c>
      <c r="M924" s="43">
        <v>0</v>
      </c>
      <c r="N924" s="1">
        <f t="shared" si="1885"/>
        <v>5</v>
      </c>
      <c r="O924" s="1">
        <f t="shared" si="1886"/>
        <v>2500</v>
      </c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  <c r="AA924" s="31"/>
      <c r="AB924" s="31"/>
      <c r="AC924" s="31"/>
      <c r="AD924" s="31"/>
      <c r="AE924" s="31"/>
      <c r="AF924" s="31"/>
      <c r="AG924" s="31"/>
    </row>
    <row r="925" spans="1:33" s="32" customFormat="1" ht="15" customHeight="1">
      <c r="A925" s="37">
        <v>43872</v>
      </c>
      <c r="B925" s="20" t="s">
        <v>367</v>
      </c>
      <c r="C925" s="20" t="s">
        <v>48</v>
      </c>
      <c r="D925" s="20">
        <v>165</v>
      </c>
      <c r="E925" s="38">
        <v>3000</v>
      </c>
      <c r="F925" s="20" t="s">
        <v>8</v>
      </c>
      <c r="G925" s="43">
        <v>6.1</v>
      </c>
      <c r="H925" s="43">
        <v>6.85</v>
      </c>
      <c r="I925" s="43">
        <v>0</v>
      </c>
      <c r="J925" s="43">
        <v>0</v>
      </c>
      <c r="K925" s="1">
        <f t="shared" ref="K925" si="1946">(IF(F925="SELL",G925-H925,IF(F925="BUY",H925-G925)))*E925</f>
        <v>2250</v>
      </c>
      <c r="L925" s="43">
        <v>0</v>
      </c>
      <c r="M925" s="43">
        <v>0</v>
      </c>
      <c r="N925" s="1">
        <f t="shared" si="1885"/>
        <v>0.75</v>
      </c>
      <c r="O925" s="1">
        <f t="shared" si="1886"/>
        <v>2250</v>
      </c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  <c r="AA925" s="31"/>
      <c r="AB925" s="31"/>
      <c r="AC925" s="31"/>
      <c r="AD925" s="31"/>
      <c r="AE925" s="31"/>
      <c r="AF925" s="31"/>
      <c r="AG925" s="31"/>
    </row>
    <row r="926" spans="1:33" s="32" customFormat="1" ht="15" customHeight="1">
      <c r="A926" s="37">
        <v>43872</v>
      </c>
      <c r="B926" s="20" t="s">
        <v>28</v>
      </c>
      <c r="C926" s="20" t="s">
        <v>48</v>
      </c>
      <c r="D926" s="20">
        <v>600</v>
      </c>
      <c r="E926" s="38">
        <v>1851</v>
      </c>
      <c r="F926" s="20" t="s">
        <v>8</v>
      </c>
      <c r="G926" s="43">
        <v>11.5</v>
      </c>
      <c r="H926" s="43">
        <v>9.5</v>
      </c>
      <c r="I926" s="43">
        <v>0</v>
      </c>
      <c r="J926" s="43">
        <v>0</v>
      </c>
      <c r="K926" s="1">
        <f t="shared" ref="K926" si="1947">(IF(F926="SELL",G926-H926,IF(F926="BUY",H926-G926)))*E926</f>
        <v>-3702</v>
      </c>
      <c r="L926" s="43">
        <v>0</v>
      </c>
      <c r="M926" s="43">
        <v>0</v>
      </c>
      <c r="N926" s="1">
        <f t="shared" si="1885"/>
        <v>-2</v>
      </c>
      <c r="O926" s="1">
        <f t="shared" si="1886"/>
        <v>-3702</v>
      </c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  <c r="AA926" s="31"/>
      <c r="AB926" s="31"/>
      <c r="AC926" s="31"/>
      <c r="AD926" s="31"/>
      <c r="AE926" s="31"/>
      <c r="AF926" s="31"/>
      <c r="AG926" s="31"/>
    </row>
    <row r="927" spans="1:33" s="32" customFormat="1" ht="15" customHeight="1">
      <c r="A927" s="37">
        <v>43871</v>
      </c>
      <c r="B927" s="20" t="s">
        <v>480</v>
      </c>
      <c r="C927" s="20" t="s">
        <v>48</v>
      </c>
      <c r="D927" s="20">
        <v>600</v>
      </c>
      <c r="E927" s="38">
        <v>2200</v>
      </c>
      <c r="F927" s="20" t="s">
        <v>8</v>
      </c>
      <c r="G927" s="43">
        <v>6.8</v>
      </c>
      <c r="H927" s="43">
        <v>8.3000000000000007</v>
      </c>
      <c r="I927" s="43">
        <v>0</v>
      </c>
      <c r="J927" s="43">
        <v>0</v>
      </c>
      <c r="K927" s="1">
        <f t="shared" ref="K927" si="1948">(IF(F927="SELL",G927-H927,IF(F927="BUY",H927-G927)))*E927</f>
        <v>3300.0000000000018</v>
      </c>
      <c r="L927" s="43">
        <v>0</v>
      </c>
      <c r="M927" s="43">
        <v>0</v>
      </c>
      <c r="N927" s="1">
        <f t="shared" si="1885"/>
        <v>1.5000000000000009</v>
      </c>
      <c r="O927" s="1">
        <f t="shared" si="1886"/>
        <v>3300.0000000000018</v>
      </c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1"/>
      <c r="AD927" s="31"/>
      <c r="AE927" s="31"/>
      <c r="AF927" s="31"/>
      <c r="AG927" s="31"/>
    </row>
    <row r="928" spans="1:33" s="32" customFormat="1" ht="15" customHeight="1">
      <c r="A928" s="37">
        <v>43871</v>
      </c>
      <c r="B928" s="20" t="s">
        <v>368</v>
      </c>
      <c r="C928" s="20" t="s">
        <v>48</v>
      </c>
      <c r="D928" s="20">
        <v>220</v>
      </c>
      <c r="E928" s="38">
        <v>1700</v>
      </c>
      <c r="F928" s="20" t="s">
        <v>8</v>
      </c>
      <c r="G928" s="43">
        <v>7</v>
      </c>
      <c r="H928" s="43">
        <v>9</v>
      </c>
      <c r="I928" s="43">
        <v>11</v>
      </c>
      <c r="J928" s="43">
        <v>0</v>
      </c>
      <c r="K928" s="1">
        <f t="shared" ref="K928" si="1949">(IF(F928="SELL",G928-H928,IF(F928="BUY",H928-G928)))*E928</f>
        <v>3400</v>
      </c>
      <c r="L928" s="43">
        <v>3400</v>
      </c>
      <c r="M928" s="43">
        <v>0</v>
      </c>
      <c r="N928" s="1">
        <f t="shared" ref="N928:N991" si="1950">(L928+K928+M928)/E928</f>
        <v>4</v>
      </c>
      <c r="O928" s="1">
        <f t="shared" ref="O928:O991" si="1951">N928*E928</f>
        <v>6800</v>
      </c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1"/>
      <c r="AD928" s="31"/>
      <c r="AE928" s="31"/>
      <c r="AF928" s="31"/>
      <c r="AG928" s="31"/>
    </row>
    <row r="929" spans="1:33" s="32" customFormat="1" ht="15" customHeight="1">
      <c r="A929" s="37">
        <v>43871</v>
      </c>
      <c r="B929" s="20" t="s">
        <v>193</v>
      </c>
      <c r="C929" s="20" t="s">
        <v>48</v>
      </c>
      <c r="D929" s="20">
        <v>540</v>
      </c>
      <c r="E929" s="38">
        <v>2750</v>
      </c>
      <c r="F929" s="20" t="s">
        <v>8</v>
      </c>
      <c r="G929" s="43">
        <v>6.5</v>
      </c>
      <c r="H929" s="43">
        <v>6.5</v>
      </c>
      <c r="I929" s="43">
        <v>0</v>
      </c>
      <c r="J929" s="43">
        <v>0</v>
      </c>
      <c r="K929" s="1">
        <f t="shared" ref="K929" si="1952">(IF(F929="SELL",G929-H929,IF(F929="BUY",H929-G929)))*E929</f>
        <v>0</v>
      </c>
      <c r="L929" s="43">
        <v>0</v>
      </c>
      <c r="M929" s="43">
        <v>0</v>
      </c>
      <c r="N929" s="1">
        <f t="shared" si="1950"/>
        <v>0</v>
      </c>
      <c r="O929" s="1">
        <f t="shared" si="1951"/>
        <v>0</v>
      </c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1"/>
      <c r="AD929" s="31"/>
      <c r="AE929" s="31"/>
      <c r="AF929" s="31"/>
      <c r="AG929" s="31"/>
    </row>
    <row r="930" spans="1:33" s="32" customFormat="1" ht="15" customHeight="1">
      <c r="A930" s="37">
        <v>43868</v>
      </c>
      <c r="B930" s="20" t="s">
        <v>404</v>
      </c>
      <c r="C930" s="20" t="s">
        <v>48</v>
      </c>
      <c r="D930" s="20">
        <v>160</v>
      </c>
      <c r="E930" s="38">
        <v>6000</v>
      </c>
      <c r="F930" s="20" t="s">
        <v>8</v>
      </c>
      <c r="G930" s="43">
        <v>2.5</v>
      </c>
      <c r="H930" s="43">
        <v>3</v>
      </c>
      <c r="I930" s="43">
        <v>0</v>
      </c>
      <c r="J930" s="43">
        <v>0</v>
      </c>
      <c r="K930" s="1">
        <f t="shared" ref="K930" si="1953">(IF(F930="SELL",G930-H930,IF(F930="BUY",H930-G930)))*E930</f>
        <v>3000</v>
      </c>
      <c r="L930" s="43">
        <v>0</v>
      </c>
      <c r="M930" s="43">
        <v>0</v>
      </c>
      <c r="N930" s="1">
        <f t="shared" si="1950"/>
        <v>0.5</v>
      </c>
      <c r="O930" s="1">
        <f t="shared" si="1951"/>
        <v>3000</v>
      </c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  <c r="AA930" s="31"/>
      <c r="AB930" s="31"/>
      <c r="AC930" s="31"/>
      <c r="AD930" s="31"/>
      <c r="AE930" s="31"/>
      <c r="AF930" s="31"/>
      <c r="AG930" s="31"/>
    </row>
    <row r="931" spans="1:33" s="32" customFormat="1" ht="15" customHeight="1">
      <c r="A931" s="37">
        <v>43868</v>
      </c>
      <c r="B931" s="20" t="s">
        <v>430</v>
      </c>
      <c r="C931" s="20" t="s">
        <v>48</v>
      </c>
      <c r="D931" s="20">
        <v>570</v>
      </c>
      <c r="E931" s="38">
        <v>1000</v>
      </c>
      <c r="F931" s="20" t="s">
        <v>8</v>
      </c>
      <c r="G931" s="43">
        <v>14</v>
      </c>
      <c r="H931" s="43">
        <v>16</v>
      </c>
      <c r="I931" s="43">
        <v>18</v>
      </c>
      <c r="J931" s="43">
        <v>20</v>
      </c>
      <c r="K931" s="1">
        <f t="shared" ref="K931" si="1954">(IF(F931="SELL",G931-H931,IF(F931="BUY",H931-G931)))*E931</f>
        <v>2000</v>
      </c>
      <c r="L931" s="43">
        <v>2000</v>
      </c>
      <c r="M931" s="43">
        <v>2000</v>
      </c>
      <c r="N931" s="1">
        <f t="shared" si="1950"/>
        <v>6</v>
      </c>
      <c r="O931" s="1">
        <f t="shared" si="1951"/>
        <v>6000</v>
      </c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  <c r="AA931" s="31"/>
      <c r="AB931" s="31"/>
      <c r="AC931" s="31"/>
      <c r="AD931" s="31"/>
      <c r="AE931" s="31"/>
      <c r="AF931" s="31"/>
      <c r="AG931" s="31"/>
    </row>
    <row r="932" spans="1:33" s="32" customFormat="1" ht="15" customHeight="1">
      <c r="A932" s="37">
        <v>43867</v>
      </c>
      <c r="B932" s="20" t="s">
        <v>482</v>
      </c>
      <c r="C932" s="20" t="s">
        <v>48</v>
      </c>
      <c r="D932" s="20">
        <v>1340</v>
      </c>
      <c r="E932" s="38">
        <v>400</v>
      </c>
      <c r="F932" s="20" t="s">
        <v>8</v>
      </c>
      <c r="G932" s="43">
        <v>32</v>
      </c>
      <c r="H932" s="43">
        <v>40</v>
      </c>
      <c r="I932" s="43">
        <v>45.5</v>
      </c>
      <c r="J932" s="43">
        <v>0</v>
      </c>
      <c r="K932" s="1">
        <f t="shared" ref="K932" si="1955">(IF(F932="SELL",G932-H932,IF(F932="BUY",H932-G932)))*E932</f>
        <v>3200</v>
      </c>
      <c r="L932" s="43">
        <f>E932*5.5</f>
        <v>2200</v>
      </c>
      <c r="M932" s="43">
        <v>0</v>
      </c>
      <c r="N932" s="1">
        <f t="shared" si="1950"/>
        <v>13.5</v>
      </c>
      <c r="O932" s="1">
        <f t="shared" si="1951"/>
        <v>5400</v>
      </c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  <c r="AA932" s="31"/>
      <c r="AB932" s="31"/>
      <c r="AC932" s="31"/>
      <c r="AD932" s="31"/>
      <c r="AE932" s="31"/>
      <c r="AF932" s="31"/>
      <c r="AG932" s="31"/>
    </row>
    <row r="933" spans="1:33" s="32" customFormat="1" ht="15" customHeight="1">
      <c r="A933" s="37">
        <v>43867</v>
      </c>
      <c r="B933" s="20" t="s">
        <v>466</v>
      </c>
      <c r="C933" s="20" t="s">
        <v>48</v>
      </c>
      <c r="D933" s="20">
        <v>545</v>
      </c>
      <c r="E933" s="38">
        <v>1375</v>
      </c>
      <c r="F933" s="20" t="s">
        <v>8</v>
      </c>
      <c r="G933" s="43">
        <v>13</v>
      </c>
      <c r="H933" s="43">
        <v>11</v>
      </c>
      <c r="I933" s="43">
        <v>0</v>
      </c>
      <c r="J933" s="43">
        <v>0</v>
      </c>
      <c r="K933" s="1">
        <f t="shared" ref="K933" si="1956">(IF(F933="SELL",G933-H933,IF(F933="BUY",H933-G933)))*E933</f>
        <v>-2750</v>
      </c>
      <c r="L933" s="43">
        <v>0</v>
      </c>
      <c r="M933" s="43">
        <v>0</v>
      </c>
      <c r="N933" s="1">
        <f t="shared" si="1950"/>
        <v>-2</v>
      </c>
      <c r="O933" s="1">
        <f t="shared" si="1951"/>
        <v>-2750</v>
      </c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  <c r="AA933" s="31"/>
      <c r="AB933" s="31"/>
      <c r="AC933" s="31"/>
      <c r="AD933" s="31"/>
      <c r="AE933" s="31"/>
      <c r="AF933" s="31"/>
      <c r="AG933" s="31"/>
    </row>
    <row r="934" spans="1:33" s="32" customFormat="1" ht="15" customHeight="1">
      <c r="A934" s="37">
        <v>43867</v>
      </c>
      <c r="B934" s="20" t="s">
        <v>400</v>
      </c>
      <c r="C934" s="20" t="s">
        <v>48</v>
      </c>
      <c r="D934" s="20">
        <v>520</v>
      </c>
      <c r="E934" s="38">
        <v>1500</v>
      </c>
      <c r="F934" s="20" t="s">
        <v>8</v>
      </c>
      <c r="G934" s="43">
        <v>5.6</v>
      </c>
      <c r="H934" s="43">
        <v>4.8</v>
      </c>
      <c r="I934" s="43">
        <v>0</v>
      </c>
      <c r="J934" s="43">
        <v>0</v>
      </c>
      <c r="K934" s="1">
        <f t="shared" ref="K934" si="1957">(IF(F934="SELL",G934-H934,IF(F934="BUY",H934-G934)))*E934</f>
        <v>-1199.9999999999998</v>
      </c>
      <c r="L934" s="43">
        <v>0</v>
      </c>
      <c r="M934" s="43">
        <v>0</v>
      </c>
      <c r="N934" s="1">
        <f t="shared" si="1950"/>
        <v>-0.79999999999999982</v>
      </c>
      <c r="O934" s="1">
        <f t="shared" si="1951"/>
        <v>-1199.9999999999998</v>
      </c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  <c r="AA934" s="31"/>
      <c r="AB934" s="31"/>
      <c r="AC934" s="31"/>
      <c r="AD934" s="31"/>
      <c r="AE934" s="31"/>
      <c r="AF934" s="31"/>
      <c r="AG934" s="31"/>
    </row>
    <row r="935" spans="1:33" s="32" customFormat="1" ht="15" customHeight="1">
      <c r="A935" s="37">
        <v>43866</v>
      </c>
      <c r="B935" s="20" t="s">
        <v>128</v>
      </c>
      <c r="C935" s="20" t="s">
        <v>48</v>
      </c>
      <c r="D935" s="20">
        <v>1700</v>
      </c>
      <c r="E935" s="38">
        <v>400</v>
      </c>
      <c r="F935" s="20" t="s">
        <v>8</v>
      </c>
      <c r="G935" s="43">
        <v>38</v>
      </c>
      <c r="H935" s="43">
        <v>31.5</v>
      </c>
      <c r="I935" s="43">
        <v>0</v>
      </c>
      <c r="J935" s="43">
        <v>0</v>
      </c>
      <c r="K935" s="1">
        <f t="shared" ref="K935" si="1958">(IF(F935="SELL",G935-H935,IF(F935="BUY",H935-G935)))*E935</f>
        <v>-2600</v>
      </c>
      <c r="L935" s="43">
        <v>0</v>
      </c>
      <c r="M935" s="43">
        <v>0</v>
      </c>
      <c r="N935" s="1">
        <f t="shared" si="1950"/>
        <v>-6.5</v>
      </c>
      <c r="O935" s="1">
        <f t="shared" si="1951"/>
        <v>-2600</v>
      </c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  <c r="AA935" s="31"/>
      <c r="AB935" s="31"/>
      <c r="AC935" s="31"/>
      <c r="AD935" s="31"/>
      <c r="AE935" s="31"/>
      <c r="AF935" s="31"/>
      <c r="AG935" s="31"/>
    </row>
    <row r="936" spans="1:33" s="32" customFormat="1" ht="15" customHeight="1">
      <c r="A936" s="37">
        <v>43866</v>
      </c>
      <c r="B936" s="20" t="s">
        <v>481</v>
      </c>
      <c r="C936" s="20" t="s">
        <v>48</v>
      </c>
      <c r="D936" s="20">
        <v>660</v>
      </c>
      <c r="E936" s="38">
        <v>600</v>
      </c>
      <c r="F936" s="20" t="s">
        <v>8</v>
      </c>
      <c r="G936" s="43">
        <v>10</v>
      </c>
      <c r="H936" s="43">
        <v>15</v>
      </c>
      <c r="I936" s="43">
        <v>0</v>
      </c>
      <c r="J936" s="43">
        <v>0</v>
      </c>
      <c r="K936" s="1">
        <f t="shared" ref="K936" si="1959">(IF(F936="SELL",G936-H936,IF(F936="BUY",H936-G936)))*E936</f>
        <v>3000</v>
      </c>
      <c r="L936" s="43">
        <v>0</v>
      </c>
      <c r="M936" s="43">
        <v>0</v>
      </c>
      <c r="N936" s="1">
        <f t="shared" si="1950"/>
        <v>5</v>
      </c>
      <c r="O936" s="1">
        <f t="shared" si="1951"/>
        <v>3000</v>
      </c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  <c r="AA936" s="31"/>
      <c r="AB936" s="31"/>
      <c r="AC936" s="31"/>
      <c r="AD936" s="31"/>
      <c r="AE936" s="31"/>
      <c r="AF936" s="31"/>
      <c r="AG936" s="31"/>
    </row>
    <row r="937" spans="1:33" s="32" customFormat="1" ht="15" customHeight="1">
      <c r="A937" s="37">
        <v>43866</v>
      </c>
      <c r="B937" s="20" t="s">
        <v>421</v>
      </c>
      <c r="C937" s="20" t="s">
        <v>48</v>
      </c>
      <c r="D937" s="20">
        <v>320</v>
      </c>
      <c r="E937" s="38">
        <v>3000</v>
      </c>
      <c r="F937" s="20" t="s">
        <v>8</v>
      </c>
      <c r="G937" s="43">
        <v>6.2</v>
      </c>
      <c r="H937" s="43">
        <v>7.2</v>
      </c>
      <c r="I937" s="43">
        <v>0</v>
      </c>
      <c r="J937" s="43">
        <v>0</v>
      </c>
      <c r="K937" s="1">
        <f t="shared" ref="K937" si="1960">(IF(F937="SELL",G937-H937,IF(F937="BUY",H937-G937)))*E937</f>
        <v>3000</v>
      </c>
      <c r="L937" s="43">
        <v>0</v>
      </c>
      <c r="M937" s="43">
        <v>0</v>
      </c>
      <c r="N937" s="1">
        <f t="shared" si="1950"/>
        <v>1</v>
      </c>
      <c r="O937" s="1">
        <f t="shared" si="1951"/>
        <v>3000</v>
      </c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1"/>
      <c r="AD937" s="31"/>
      <c r="AE937" s="31"/>
      <c r="AF937" s="31"/>
      <c r="AG937" s="31"/>
    </row>
    <row r="938" spans="1:33" s="32" customFormat="1" ht="15" customHeight="1">
      <c r="A938" s="37">
        <v>43866</v>
      </c>
      <c r="B938" s="20" t="s">
        <v>467</v>
      </c>
      <c r="C938" s="20" t="s">
        <v>48</v>
      </c>
      <c r="D938" s="20">
        <v>1240</v>
      </c>
      <c r="E938" s="38">
        <v>500</v>
      </c>
      <c r="F938" s="20" t="s">
        <v>8</v>
      </c>
      <c r="G938" s="43">
        <v>25</v>
      </c>
      <c r="H938" s="43">
        <v>30</v>
      </c>
      <c r="I938" s="43">
        <v>35</v>
      </c>
      <c r="J938" s="43">
        <v>0</v>
      </c>
      <c r="K938" s="1">
        <f t="shared" ref="K938" si="1961">(IF(F938="SELL",G938-H938,IF(F938="BUY",H938-G938)))*E938</f>
        <v>2500</v>
      </c>
      <c r="L938" s="43">
        <v>2500</v>
      </c>
      <c r="M938" s="43">
        <v>0</v>
      </c>
      <c r="N938" s="1">
        <f t="shared" si="1950"/>
        <v>10</v>
      </c>
      <c r="O938" s="1">
        <f t="shared" si="1951"/>
        <v>5000</v>
      </c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1"/>
      <c r="AD938" s="31"/>
      <c r="AE938" s="31"/>
      <c r="AF938" s="31"/>
      <c r="AG938" s="31"/>
    </row>
    <row r="939" spans="1:33" s="32" customFormat="1" ht="15" customHeight="1">
      <c r="A939" s="37">
        <v>43865</v>
      </c>
      <c r="B939" s="20" t="s">
        <v>480</v>
      </c>
      <c r="C939" s="20" t="s">
        <v>48</v>
      </c>
      <c r="D939" s="20">
        <v>580</v>
      </c>
      <c r="E939" s="38">
        <v>2200</v>
      </c>
      <c r="F939" s="20" t="s">
        <v>8</v>
      </c>
      <c r="G939" s="43">
        <v>17.5</v>
      </c>
      <c r="H939" s="43">
        <v>19.2</v>
      </c>
      <c r="I939" s="43">
        <v>21.2</v>
      </c>
      <c r="J939" s="43">
        <v>0</v>
      </c>
      <c r="K939" s="1">
        <f t="shared" ref="K939" si="1962">(IF(F939="SELL",G939-H939,IF(F939="BUY",H939-G939)))*E939</f>
        <v>3739.9999999999986</v>
      </c>
      <c r="L939" s="43">
        <f>E939*2</f>
        <v>4400</v>
      </c>
      <c r="M939" s="43">
        <f>J1063</f>
        <v>0</v>
      </c>
      <c r="N939" s="1">
        <f t="shared" si="1950"/>
        <v>3.6999999999999993</v>
      </c>
      <c r="O939" s="1">
        <f t="shared" si="1951"/>
        <v>8139.9999999999982</v>
      </c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1"/>
      <c r="AD939" s="31"/>
      <c r="AE939" s="31"/>
      <c r="AF939" s="31"/>
      <c r="AG939" s="31"/>
    </row>
    <row r="940" spans="1:33" s="32" customFormat="1" ht="15" customHeight="1">
      <c r="A940" s="37">
        <v>43865</v>
      </c>
      <c r="B940" s="20" t="s">
        <v>475</v>
      </c>
      <c r="C940" s="20" t="s">
        <v>48</v>
      </c>
      <c r="D940" s="20">
        <v>2000</v>
      </c>
      <c r="E940" s="38">
        <v>375</v>
      </c>
      <c r="F940" s="20" t="s">
        <v>8</v>
      </c>
      <c r="G940" s="43">
        <v>35</v>
      </c>
      <c r="H940" s="43">
        <v>42</v>
      </c>
      <c r="I940" s="43">
        <v>0</v>
      </c>
      <c r="J940" s="43">
        <v>0</v>
      </c>
      <c r="K940" s="1">
        <f t="shared" ref="K940" si="1963">(IF(F940="SELL",G940-H940,IF(F940="BUY",H940-G940)))*E940</f>
        <v>2625</v>
      </c>
      <c r="L940" s="43">
        <v>0</v>
      </c>
      <c r="M940" s="43">
        <v>0</v>
      </c>
      <c r="N940" s="1">
        <f t="shared" si="1950"/>
        <v>7</v>
      </c>
      <c r="O940" s="1">
        <f t="shared" si="1951"/>
        <v>2625</v>
      </c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  <c r="AA940" s="31"/>
      <c r="AB940" s="31"/>
      <c r="AC940" s="31"/>
      <c r="AD940" s="31"/>
      <c r="AE940" s="31"/>
      <c r="AF940" s="31"/>
      <c r="AG940" s="31"/>
    </row>
    <row r="941" spans="1:33" s="32" customFormat="1" ht="15" customHeight="1">
      <c r="A941" s="37">
        <v>43864</v>
      </c>
      <c r="B941" s="20" t="s">
        <v>438</v>
      </c>
      <c r="C941" s="20" t="s">
        <v>48</v>
      </c>
      <c r="D941" s="20">
        <v>2180</v>
      </c>
      <c r="E941" s="38">
        <v>250</v>
      </c>
      <c r="F941" s="20" t="s">
        <v>8</v>
      </c>
      <c r="G941" s="43">
        <v>54</v>
      </c>
      <c r="H941" s="43">
        <v>41</v>
      </c>
      <c r="I941" s="43">
        <v>0</v>
      </c>
      <c r="J941" s="43">
        <v>0</v>
      </c>
      <c r="K941" s="1">
        <f t="shared" ref="K941" si="1964">(IF(F941="SELL",G941-H941,IF(F941="BUY",H941-G941)))*E941</f>
        <v>-3250</v>
      </c>
      <c r="L941" s="43">
        <v>0</v>
      </c>
      <c r="M941" s="43">
        <v>0</v>
      </c>
      <c r="N941" s="1">
        <f t="shared" si="1950"/>
        <v>-13</v>
      </c>
      <c r="O941" s="1">
        <f t="shared" si="1951"/>
        <v>-3250</v>
      </c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  <c r="AA941" s="31"/>
      <c r="AB941" s="31"/>
      <c r="AC941" s="31"/>
      <c r="AD941" s="31"/>
      <c r="AE941" s="31"/>
      <c r="AF941" s="31"/>
      <c r="AG941" s="31"/>
    </row>
    <row r="942" spans="1:33" s="32" customFormat="1" ht="15" customHeight="1">
      <c r="A942" s="37">
        <v>43862</v>
      </c>
      <c r="B942" s="20" t="s">
        <v>421</v>
      </c>
      <c r="C942" s="20" t="s">
        <v>48</v>
      </c>
      <c r="D942" s="20">
        <v>350</v>
      </c>
      <c r="E942" s="38">
        <v>3000</v>
      </c>
      <c r="F942" s="20" t="s">
        <v>8</v>
      </c>
      <c r="G942" s="43">
        <v>4.5</v>
      </c>
      <c r="H942" s="43">
        <v>5.5</v>
      </c>
      <c r="I942" s="43">
        <v>0</v>
      </c>
      <c r="J942" s="43">
        <v>0</v>
      </c>
      <c r="K942" s="1">
        <f t="shared" ref="K942" si="1965">(IF(F942="SELL",G942-H942,IF(F942="BUY",H942-G942)))*E942</f>
        <v>3000</v>
      </c>
      <c r="L942" s="43">
        <v>0</v>
      </c>
      <c r="M942" s="43">
        <v>0</v>
      </c>
      <c r="N942" s="1">
        <f t="shared" si="1950"/>
        <v>1</v>
      </c>
      <c r="O942" s="1">
        <f t="shared" si="1951"/>
        <v>3000</v>
      </c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  <c r="AA942" s="31"/>
      <c r="AB942" s="31"/>
      <c r="AC942" s="31"/>
      <c r="AD942" s="31"/>
      <c r="AE942" s="31"/>
      <c r="AF942" s="31"/>
      <c r="AG942" s="31"/>
    </row>
    <row r="943" spans="1:33" s="32" customFormat="1" ht="15" customHeight="1">
      <c r="A943" s="37">
        <v>43862</v>
      </c>
      <c r="B943" s="20" t="s">
        <v>479</v>
      </c>
      <c r="C943" s="20" t="s">
        <v>425</v>
      </c>
      <c r="D943" s="20">
        <v>300</v>
      </c>
      <c r="E943" s="38">
        <v>1300</v>
      </c>
      <c r="F943" s="20" t="s">
        <v>8</v>
      </c>
      <c r="G943" s="43">
        <v>8.6</v>
      </c>
      <c r="H943" s="43">
        <v>10.6</v>
      </c>
      <c r="I943" s="43">
        <v>12.8</v>
      </c>
      <c r="J943" s="43">
        <v>0</v>
      </c>
      <c r="K943" s="1">
        <f t="shared" ref="K943" si="1966">(IF(F943="SELL",G943-H943,IF(F943="BUY",H943-G943)))*E943</f>
        <v>2600</v>
      </c>
      <c r="L943" s="43">
        <v>3000</v>
      </c>
      <c r="M943" s="43">
        <v>0</v>
      </c>
      <c r="N943" s="1">
        <f t="shared" si="1950"/>
        <v>4.3076923076923075</v>
      </c>
      <c r="O943" s="1">
        <f t="shared" si="1951"/>
        <v>5600</v>
      </c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  <c r="AA943" s="31"/>
      <c r="AB943" s="31"/>
      <c r="AC943" s="31"/>
      <c r="AD943" s="31"/>
      <c r="AE943" s="31"/>
      <c r="AF943" s="31"/>
      <c r="AG943" s="31"/>
    </row>
    <row r="944" spans="1:33" s="32" customFormat="1" ht="15" customHeight="1">
      <c r="A944" s="37">
        <v>43862</v>
      </c>
      <c r="B944" s="20" t="s">
        <v>478</v>
      </c>
      <c r="C944" s="20" t="s">
        <v>46</v>
      </c>
      <c r="D944" s="20">
        <v>105</v>
      </c>
      <c r="E944" s="38">
        <v>4000</v>
      </c>
      <c r="F944" s="20" t="s">
        <v>8</v>
      </c>
      <c r="G944" s="43">
        <v>3.5</v>
      </c>
      <c r="H944" s="43">
        <v>4.2</v>
      </c>
      <c r="I944" s="43">
        <v>5</v>
      </c>
      <c r="J944" s="43">
        <v>0</v>
      </c>
      <c r="K944" s="1">
        <f t="shared" ref="K944" si="1967">(IF(F944="SELL",G944-H944,IF(F944="BUY",H944-G944)))*E944</f>
        <v>2800.0000000000009</v>
      </c>
      <c r="L944" s="43">
        <f>E944*0.8</f>
        <v>3200</v>
      </c>
      <c r="M944" s="43">
        <v>0</v>
      </c>
      <c r="N944" s="1">
        <f t="shared" si="1950"/>
        <v>1.5000000000000002</v>
      </c>
      <c r="O944" s="1">
        <f t="shared" si="1951"/>
        <v>6000.0000000000009</v>
      </c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  <c r="AA944" s="31"/>
      <c r="AB944" s="31"/>
      <c r="AC944" s="31"/>
      <c r="AD944" s="31"/>
      <c r="AE944" s="31"/>
      <c r="AF944" s="31"/>
      <c r="AG944" s="31"/>
    </row>
    <row r="945" spans="1:33" s="32" customFormat="1" ht="15" customHeight="1">
      <c r="A945" s="37">
        <v>43861</v>
      </c>
      <c r="B945" s="20" t="s">
        <v>477</v>
      </c>
      <c r="C945" s="20" t="s">
        <v>47</v>
      </c>
      <c r="D945" s="20">
        <v>400</v>
      </c>
      <c r="E945" s="38">
        <v>1700</v>
      </c>
      <c r="F945" s="20" t="s">
        <v>8</v>
      </c>
      <c r="G945" s="43">
        <v>12</v>
      </c>
      <c r="H945" s="43">
        <v>13.5</v>
      </c>
      <c r="I945" s="43">
        <v>0</v>
      </c>
      <c r="J945" s="43">
        <v>0</v>
      </c>
      <c r="K945" s="1">
        <f t="shared" ref="K945" si="1968">(IF(F945="SELL",G945-H945,IF(F945="BUY",H945-G945)))*E945</f>
        <v>2550</v>
      </c>
      <c r="L945" s="43">
        <v>0</v>
      </c>
      <c r="M945" s="43">
        <v>0</v>
      </c>
      <c r="N945" s="1">
        <f t="shared" si="1950"/>
        <v>1.5</v>
      </c>
      <c r="O945" s="1">
        <f t="shared" si="1951"/>
        <v>2550</v>
      </c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  <c r="AA945" s="31"/>
      <c r="AB945" s="31"/>
      <c r="AC945" s="31"/>
      <c r="AD945" s="31"/>
      <c r="AE945" s="31"/>
      <c r="AF945" s="31"/>
      <c r="AG945" s="31"/>
    </row>
    <row r="946" spans="1:33" s="32" customFormat="1" ht="15" customHeight="1">
      <c r="A946" s="37">
        <v>43861</v>
      </c>
      <c r="B946" s="20" t="s">
        <v>406</v>
      </c>
      <c r="C946" s="20" t="s">
        <v>47</v>
      </c>
      <c r="D946" s="20">
        <v>500</v>
      </c>
      <c r="E946" s="38">
        <v>1250</v>
      </c>
      <c r="F946" s="20" t="s">
        <v>8</v>
      </c>
      <c r="G946" s="43">
        <v>13.5</v>
      </c>
      <c r="H946" s="43">
        <v>15.5</v>
      </c>
      <c r="I946" s="43">
        <v>17.5</v>
      </c>
      <c r="J946" s="43">
        <v>0</v>
      </c>
      <c r="K946" s="1">
        <f t="shared" ref="K946" si="1969">(IF(F946="SELL",G946-H946,IF(F946="BUY",H946-G946)))*E946</f>
        <v>2500</v>
      </c>
      <c r="L946" s="43">
        <f>E946*2</f>
        <v>2500</v>
      </c>
      <c r="M946" s="43">
        <v>0</v>
      </c>
      <c r="N946" s="1">
        <f t="shared" si="1950"/>
        <v>4</v>
      </c>
      <c r="O946" s="1">
        <f t="shared" si="1951"/>
        <v>5000</v>
      </c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  <c r="AA946" s="31"/>
      <c r="AB946" s="31"/>
      <c r="AC946" s="31"/>
      <c r="AD946" s="31"/>
      <c r="AE946" s="31"/>
      <c r="AF946" s="31"/>
      <c r="AG946" s="31"/>
    </row>
    <row r="947" spans="1:33" s="32" customFormat="1" ht="15" customHeight="1">
      <c r="A947" s="37">
        <v>43860</v>
      </c>
      <c r="B947" s="20" t="s">
        <v>473</v>
      </c>
      <c r="C947" s="20" t="s">
        <v>46</v>
      </c>
      <c r="D947" s="20">
        <v>235</v>
      </c>
      <c r="E947" s="38">
        <v>2400</v>
      </c>
      <c r="F947" s="20" t="s">
        <v>8</v>
      </c>
      <c r="G947" s="43">
        <v>1</v>
      </c>
      <c r="H947" s="43">
        <v>2</v>
      </c>
      <c r="I947" s="43">
        <v>0</v>
      </c>
      <c r="J947" s="43">
        <v>0</v>
      </c>
      <c r="K947" s="1">
        <f t="shared" ref="K947" si="1970">(IF(F947="SELL",G947-H947,IF(F947="BUY",H947-G947)))*E947</f>
        <v>2400</v>
      </c>
      <c r="L947" s="43">
        <v>0</v>
      </c>
      <c r="M947" s="43">
        <v>0</v>
      </c>
      <c r="N947" s="1">
        <f t="shared" si="1950"/>
        <v>1</v>
      </c>
      <c r="O947" s="1">
        <f t="shared" si="1951"/>
        <v>2400</v>
      </c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1"/>
      <c r="AD947" s="31"/>
      <c r="AE947" s="31"/>
      <c r="AF947" s="31"/>
      <c r="AG947" s="31"/>
    </row>
    <row r="948" spans="1:33" s="32" customFormat="1" ht="15" customHeight="1">
      <c r="A948" s="37">
        <v>43859</v>
      </c>
      <c r="B948" s="20" t="s">
        <v>404</v>
      </c>
      <c r="C948" s="20" t="s">
        <v>47</v>
      </c>
      <c r="D948" s="20">
        <v>145</v>
      </c>
      <c r="E948" s="38">
        <v>6000</v>
      </c>
      <c r="F948" s="20" t="s">
        <v>8</v>
      </c>
      <c r="G948" s="43">
        <v>2.1</v>
      </c>
      <c r="H948" s="43">
        <v>2.5</v>
      </c>
      <c r="I948" s="43">
        <v>3</v>
      </c>
      <c r="J948" s="43">
        <v>0</v>
      </c>
      <c r="K948" s="1">
        <f t="shared" ref="K948" si="1971">(IF(F948="SELL",G948-H948,IF(F948="BUY",H948-G948)))*E948</f>
        <v>2399.9999999999995</v>
      </c>
      <c r="L948" s="43">
        <f>E948*0.5</f>
        <v>3000</v>
      </c>
      <c r="M948" s="43">
        <v>0</v>
      </c>
      <c r="N948" s="1">
        <f t="shared" si="1950"/>
        <v>0.9</v>
      </c>
      <c r="O948" s="1">
        <f t="shared" si="1951"/>
        <v>5400</v>
      </c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1"/>
      <c r="AD948" s="31"/>
      <c r="AE948" s="31"/>
      <c r="AF948" s="31"/>
      <c r="AG948" s="31"/>
    </row>
    <row r="949" spans="1:33" s="32" customFormat="1" ht="15" customHeight="1">
      <c r="A949" s="37">
        <v>43859</v>
      </c>
      <c r="B949" s="20" t="s">
        <v>404</v>
      </c>
      <c r="C949" s="20" t="s">
        <v>47</v>
      </c>
      <c r="D949" s="20">
        <v>150</v>
      </c>
      <c r="E949" s="38">
        <v>6000</v>
      </c>
      <c r="F949" s="20" t="s">
        <v>8</v>
      </c>
      <c r="G949" s="43">
        <v>0.5</v>
      </c>
      <c r="H949" s="43">
        <v>0.8</v>
      </c>
      <c r="I949" s="43">
        <v>0</v>
      </c>
      <c r="J949" s="43">
        <v>0</v>
      </c>
      <c r="K949" s="1">
        <f t="shared" ref="K949" si="1972">(IF(F949="SELL",G949-H949,IF(F949="BUY",H949-G949)))*E949</f>
        <v>1800.0000000000002</v>
      </c>
      <c r="L949" s="43">
        <v>0</v>
      </c>
      <c r="M949" s="43">
        <v>0</v>
      </c>
      <c r="N949" s="1">
        <f t="shared" si="1950"/>
        <v>0.30000000000000004</v>
      </c>
      <c r="O949" s="1">
        <f t="shared" si="1951"/>
        <v>1800.0000000000002</v>
      </c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1"/>
      <c r="AD949" s="31"/>
      <c r="AE949" s="31"/>
      <c r="AF949" s="31"/>
      <c r="AG949" s="31"/>
    </row>
    <row r="950" spans="1:33" s="32" customFormat="1" ht="15" customHeight="1">
      <c r="A950" s="37">
        <v>43859</v>
      </c>
      <c r="B950" s="20" t="s">
        <v>62</v>
      </c>
      <c r="C950" s="20" t="s">
        <v>47</v>
      </c>
      <c r="D950" s="20">
        <v>120</v>
      </c>
      <c r="E950" s="38">
        <v>6000</v>
      </c>
      <c r="F950" s="20" t="s">
        <v>8</v>
      </c>
      <c r="G950" s="43">
        <v>0.8</v>
      </c>
      <c r="H950" s="43">
        <v>0.65</v>
      </c>
      <c r="I950" s="43">
        <v>0</v>
      </c>
      <c r="J950" s="43">
        <v>0</v>
      </c>
      <c r="K950" s="1">
        <f t="shared" ref="K950:K951" si="1973">(IF(F950="SELL",G950-H950,IF(F950="BUY",H950-G950)))*E950</f>
        <v>-900.00000000000011</v>
      </c>
      <c r="L950" s="43">
        <v>0</v>
      </c>
      <c r="M950" s="43">
        <v>0</v>
      </c>
      <c r="N950" s="1">
        <f t="shared" si="1950"/>
        <v>-0.15000000000000002</v>
      </c>
      <c r="O950" s="1">
        <f t="shared" si="1951"/>
        <v>-900.00000000000011</v>
      </c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  <c r="AA950" s="31"/>
      <c r="AB950" s="31"/>
      <c r="AC950" s="31"/>
      <c r="AD950" s="31"/>
      <c r="AE950" s="31"/>
      <c r="AF950" s="31"/>
      <c r="AG950" s="31"/>
    </row>
    <row r="951" spans="1:33" s="32" customFormat="1" ht="15" customHeight="1">
      <c r="A951" s="37">
        <v>43859</v>
      </c>
      <c r="B951" s="20" t="s">
        <v>39</v>
      </c>
      <c r="C951" s="20" t="s">
        <v>47</v>
      </c>
      <c r="D951" s="20">
        <v>1500</v>
      </c>
      <c r="E951" s="38">
        <v>500</v>
      </c>
      <c r="F951" s="20" t="s">
        <v>8</v>
      </c>
      <c r="G951" s="43">
        <v>40</v>
      </c>
      <c r="H951" s="43">
        <v>40</v>
      </c>
      <c r="I951" s="43">
        <v>0</v>
      </c>
      <c r="J951" s="43">
        <v>0</v>
      </c>
      <c r="K951" s="1">
        <f t="shared" si="1973"/>
        <v>0</v>
      </c>
      <c r="L951" s="43">
        <v>0</v>
      </c>
      <c r="M951" s="43">
        <v>0</v>
      </c>
      <c r="N951" s="1">
        <f t="shared" si="1950"/>
        <v>0</v>
      </c>
      <c r="O951" s="1">
        <f t="shared" si="1951"/>
        <v>0</v>
      </c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  <c r="AA951" s="31"/>
      <c r="AB951" s="31"/>
      <c r="AC951" s="31"/>
      <c r="AD951" s="31"/>
      <c r="AE951" s="31"/>
      <c r="AF951" s="31"/>
      <c r="AG951" s="31"/>
    </row>
    <row r="952" spans="1:33" s="32" customFormat="1" ht="15" customHeight="1">
      <c r="A952" s="37">
        <v>43858</v>
      </c>
      <c r="B952" s="20" t="s">
        <v>473</v>
      </c>
      <c r="C952" s="20" t="s">
        <v>46</v>
      </c>
      <c r="D952" s="20">
        <v>235</v>
      </c>
      <c r="E952" s="38">
        <v>2400</v>
      </c>
      <c r="F952" s="20" t="s">
        <v>8</v>
      </c>
      <c r="G952" s="43">
        <v>3</v>
      </c>
      <c r="H952" s="43">
        <v>4</v>
      </c>
      <c r="I952" s="43">
        <v>4.8</v>
      </c>
      <c r="J952" s="43">
        <v>9.5</v>
      </c>
      <c r="K952" s="1">
        <f t="shared" ref="K952" si="1974">(IF(F952="SELL",G952-H952,IF(F952="BUY",H952-G952)))*E952</f>
        <v>2400</v>
      </c>
      <c r="L952" s="43">
        <f>E952*0.8</f>
        <v>1920</v>
      </c>
      <c r="M952" s="43">
        <v>0</v>
      </c>
      <c r="N952" s="1">
        <f t="shared" si="1950"/>
        <v>1.8</v>
      </c>
      <c r="O952" s="1">
        <f t="shared" si="1951"/>
        <v>4320</v>
      </c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  <c r="AA952" s="31"/>
      <c r="AB952" s="31"/>
      <c r="AC952" s="31"/>
      <c r="AD952" s="31"/>
      <c r="AE952" s="31"/>
      <c r="AF952" s="31"/>
      <c r="AG952" s="31"/>
    </row>
    <row r="953" spans="1:33" s="32" customFormat="1" ht="15" customHeight="1">
      <c r="A953" s="37">
        <v>43858</v>
      </c>
      <c r="B953" s="20" t="s">
        <v>404</v>
      </c>
      <c r="C953" s="20" t="s">
        <v>46</v>
      </c>
      <c r="D953" s="20">
        <v>142.5</v>
      </c>
      <c r="E953" s="38">
        <v>6000</v>
      </c>
      <c r="F953" s="20" t="s">
        <v>8</v>
      </c>
      <c r="G953" s="43">
        <v>1.7</v>
      </c>
      <c r="H953" s="43">
        <v>2</v>
      </c>
      <c r="I953" s="43">
        <v>2.5</v>
      </c>
      <c r="J953" s="43">
        <v>9.5</v>
      </c>
      <c r="K953" s="1">
        <f t="shared" ref="K953" si="1975">(IF(F953="SELL",G953-H953,IF(F953="BUY",H953-G953)))*E953</f>
        <v>1800.0000000000002</v>
      </c>
      <c r="L953" s="43">
        <f>E953*0.5</f>
        <v>3000</v>
      </c>
      <c r="M953" s="43">
        <v>0</v>
      </c>
      <c r="N953" s="1">
        <f t="shared" si="1950"/>
        <v>0.8</v>
      </c>
      <c r="O953" s="1">
        <f t="shared" si="1951"/>
        <v>4800</v>
      </c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  <c r="AA953" s="31"/>
      <c r="AB953" s="31"/>
      <c r="AC953" s="31"/>
      <c r="AD953" s="31"/>
      <c r="AE953" s="31"/>
      <c r="AF953" s="31"/>
      <c r="AG953" s="31"/>
    </row>
    <row r="954" spans="1:33" s="32" customFormat="1" ht="15" customHeight="1">
      <c r="A954" s="37">
        <v>43857</v>
      </c>
      <c r="B954" s="20" t="s">
        <v>328</v>
      </c>
      <c r="C954" s="20" t="s">
        <v>47</v>
      </c>
      <c r="D954" s="20">
        <v>230</v>
      </c>
      <c r="E954" s="38">
        <v>2500</v>
      </c>
      <c r="F954" s="20" t="s">
        <v>8</v>
      </c>
      <c r="G954" s="43">
        <v>6</v>
      </c>
      <c r="H954" s="43">
        <v>7</v>
      </c>
      <c r="I954" s="43">
        <v>8.5</v>
      </c>
      <c r="J954" s="43">
        <v>9.5</v>
      </c>
      <c r="K954" s="1">
        <f t="shared" ref="K954" si="1976">(IF(F954="SELL",G954-H954,IF(F954="BUY",H954-G954)))*E954</f>
        <v>2500</v>
      </c>
      <c r="L954" s="43">
        <f>E954*1.5</f>
        <v>3750</v>
      </c>
      <c r="M954" s="43">
        <f>E954*1</f>
        <v>2500</v>
      </c>
      <c r="N954" s="1">
        <f t="shared" si="1950"/>
        <v>3.5</v>
      </c>
      <c r="O954" s="1">
        <f t="shared" si="1951"/>
        <v>8750</v>
      </c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  <c r="AA954" s="31"/>
      <c r="AB954" s="31"/>
      <c r="AC954" s="31"/>
      <c r="AD954" s="31"/>
      <c r="AE954" s="31"/>
      <c r="AF954" s="31"/>
      <c r="AG954" s="31"/>
    </row>
    <row r="955" spans="1:33" s="32" customFormat="1" ht="15" customHeight="1">
      <c r="A955" s="37">
        <v>43857</v>
      </c>
      <c r="B955" s="20" t="s">
        <v>116</v>
      </c>
      <c r="C955" s="20" t="s">
        <v>47</v>
      </c>
      <c r="D955" s="20">
        <v>230</v>
      </c>
      <c r="E955" s="38">
        <v>4000</v>
      </c>
      <c r="F955" s="20" t="s">
        <v>8</v>
      </c>
      <c r="G955" s="43">
        <v>7</v>
      </c>
      <c r="H955" s="43">
        <v>7.5</v>
      </c>
      <c r="I955" s="43">
        <v>0</v>
      </c>
      <c r="J955" s="43">
        <v>0</v>
      </c>
      <c r="K955" s="1">
        <f t="shared" ref="K955" si="1977">(IF(F955="SELL",G955-H955,IF(F955="BUY",H955-G955)))*E955</f>
        <v>2000</v>
      </c>
      <c r="L955" s="43">
        <v>0</v>
      </c>
      <c r="M955" s="43">
        <v>0</v>
      </c>
      <c r="N955" s="1">
        <f t="shared" si="1950"/>
        <v>0.5</v>
      </c>
      <c r="O955" s="1">
        <f t="shared" si="1951"/>
        <v>2000</v>
      </c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  <c r="AA955" s="31"/>
      <c r="AB955" s="31"/>
      <c r="AC955" s="31"/>
      <c r="AD955" s="31"/>
      <c r="AE955" s="31"/>
      <c r="AF955" s="31"/>
      <c r="AG955" s="31"/>
    </row>
    <row r="956" spans="1:33" s="32" customFormat="1" ht="15" customHeight="1">
      <c r="A956" s="37">
        <v>43854</v>
      </c>
      <c r="B956" s="20" t="s">
        <v>58</v>
      </c>
      <c r="C956" s="20" t="s">
        <v>47</v>
      </c>
      <c r="D956" s="20">
        <v>730</v>
      </c>
      <c r="E956" s="38">
        <v>1000</v>
      </c>
      <c r="F956" s="20" t="s">
        <v>8</v>
      </c>
      <c r="G956" s="43">
        <v>6.5</v>
      </c>
      <c r="H956" s="43">
        <v>8.5</v>
      </c>
      <c r="I956" s="43">
        <v>10.5</v>
      </c>
      <c r="J956" s="43">
        <v>0</v>
      </c>
      <c r="K956" s="1">
        <f t="shared" ref="K956" si="1978">(IF(F956="SELL",G956-H956,IF(F956="BUY",H956-G956)))*E956</f>
        <v>2000</v>
      </c>
      <c r="L956" s="43">
        <f>E956*2</f>
        <v>2000</v>
      </c>
      <c r="M956" s="43">
        <v>0</v>
      </c>
      <c r="N956" s="1">
        <f t="shared" si="1950"/>
        <v>4</v>
      </c>
      <c r="O956" s="1">
        <f t="shared" si="1951"/>
        <v>4000</v>
      </c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  <c r="AA956" s="31"/>
      <c r="AB956" s="31"/>
      <c r="AC956" s="31"/>
      <c r="AD956" s="31"/>
      <c r="AE956" s="31"/>
      <c r="AF956" s="31"/>
      <c r="AG956" s="31"/>
    </row>
    <row r="957" spans="1:33" s="32" customFormat="1" ht="15" customHeight="1">
      <c r="A957" s="37">
        <v>43854</v>
      </c>
      <c r="B957" s="20" t="s">
        <v>406</v>
      </c>
      <c r="C957" s="20" t="s">
        <v>47</v>
      </c>
      <c r="D957" s="20">
        <v>500</v>
      </c>
      <c r="E957" s="38">
        <v>500</v>
      </c>
      <c r="F957" s="20" t="s">
        <v>8</v>
      </c>
      <c r="G957" s="43">
        <v>8</v>
      </c>
      <c r="H957" s="43">
        <v>8.5</v>
      </c>
      <c r="I957" s="43">
        <v>0</v>
      </c>
      <c r="J957" s="43">
        <v>0</v>
      </c>
      <c r="K957" s="1">
        <f t="shared" ref="K957" si="1979">(IF(F957="SELL",G957-H957,IF(F957="BUY",H957-G957)))*E957</f>
        <v>250</v>
      </c>
      <c r="L957" s="43">
        <v>0</v>
      </c>
      <c r="M957" s="43">
        <v>0</v>
      </c>
      <c r="N957" s="1">
        <f t="shared" si="1950"/>
        <v>0.5</v>
      </c>
      <c r="O957" s="1">
        <f t="shared" si="1951"/>
        <v>250</v>
      </c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1"/>
      <c r="AD957" s="31"/>
      <c r="AE957" s="31"/>
      <c r="AF957" s="31"/>
      <c r="AG957" s="31"/>
    </row>
    <row r="958" spans="1:33" s="32" customFormat="1" ht="15" customHeight="1">
      <c r="A958" s="37">
        <v>43853</v>
      </c>
      <c r="B958" s="20" t="s">
        <v>399</v>
      </c>
      <c r="C958" s="20" t="s">
        <v>47</v>
      </c>
      <c r="D958" s="20">
        <v>405</v>
      </c>
      <c r="E958" s="38">
        <v>2700</v>
      </c>
      <c r="F958" s="20" t="s">
        <v>8</v>
      </c>
      <c r="G958" s="43">
        <v>3.5</v>
      </c>
      <c r="H958" s="43">
        <v>4.5</v>
      </c>
      <c r="I958" s="43">
        <v>5.5</v>
      </c>
      <c r="J958" s="43">
        <v>0</v>
      </c>
      <c r="K958" s="1">
        <f t="shared" ref="K958:K964" si="1980">(IF(F958="SELL",G958-H958,IF(F958="BUY",H958-G958)))*E958</f>
        <v>2700</v>
      </c>
      <c r="L958" s="43">
        <v>2700</v>
      </c>
      <c r="M958" s="43">
        <v>0</v>
      </c>
      <c r="N958" s="1">
        <f t="shared" si="1950"/>
        <v>2</v>
      </c>
      <c r="O958" s="1">
        <f t="shared" si="1951"/>
        <v>5400</v>
      </c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1"/>
      <c r="AD958" s="31"/>
      <c r="AE958" s="31"/>
      <c r="AF958" s="31"/>
      <c r="AG958" s="31"/>
    </row>
    <row r="959" spans="1:33" s="32" customFormat="1" ht="15" customHeight="1">
      <c r="A959" s="37">
        <v>43853</v>
      </c>
      <c r="B959" s="20" t="s">
        <v>100</v>
      </c>
      <c r="C959" s="20" t="s">
        <v>47</v>
      </c>
      <c r="D959" s="20">
        <v>3650</v>
      </c>
      <c r="E959" s="38">
        <v>250</v>
      </c>
      <c r="F959" s="20" t="s">
        <v>8</v>
      </c>
      <c r="G959" s="43">
        <v>45</v>
      </c>
      <c r="H959" s="43">
        <v>52.5</v>
      </c>
      <c r="I959" s="43">
        <v>0</v>
      </c>
      <c r="J959" s="43">
        <v>0</v>
      </c>
      <c r="K959" s="1">
        <f t="shared" si="1980"/>
        <v>1875</v>
      </c>
      <c r="L959" s="43">
        <v>0</v>
      </c>
      <c r="M959" s="43">
        <v>0</v>
      </c>
      <c r="N959" s="1">
        <f t="shared" si="1950"/>
        <v>7.5</v>
      </c>
      <c r="O959" s="1">
        <f t="shared" si="1951"/>
        <v>1875</v>
      </c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1"/>
      <c r="AD959" s="31"/>
      <c r="AE959" s="31"/>
      <c r="AF959" s="31"/>
      <c r="AG959" s="31"/>
    </row>
    <row r="960" spans="1:33" s="32" customFormat="1" ht="15" customHeight="1">
      <c r="A960" s="37">
        <v>43852</v>
      </c>
      <c r="B960" s="20" t="s">
        <v>24</v>
      </c>
      <c r="C960" s="20" t="s">
        <v>46</v>
      </c>
      <c r="D960" s="20">
        <v>185</v>
      </c>
      <c r="E960" s="38">
        <v>4300</v>
      </c>
      <c r="F960" s="20" t="s">
        <v>8</v>
      </c>
      <c r="G960" s="43">
        <v>3.6</v>
      </c>
      <c r="H960" s="43">
        <v>4.4000000000000004</v>
      </c>
      <c r="I960" s="43">
        <v>0</v>
      </c>
      <c r="J960" s="43">
        <v>0</v>
      </c>
      <c r="K960" s="1">
        <f t="shared" si="1980"/>
        <v>3440.0000000000014</v>
      </c>
      <c r="L960" s="43">
        <v>0</v>
      </c>
      <c r="M960" s="43">
        <v>0</v>
      </c>
      <c r="N960" s="1">
        <f t="shared" si="1950"/>
        <v>0.80000000000000027</v>
      </c>
      <c r="O960" s="1">
        <f t="shared" si="1951"/>
        <v>3440.0000000000014</v>
      </c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  <c r="AA960" s="31"/>
      <c r="AB960" s="31"/>
      <c r="AC960" s="31"/>
      <c r="AD960" s="31"/>
      <c r="AE960" s="31"/>
      <c r="AF960" s="31"/>
      <c r="AG960" s="31"/>
    </row>
    <row r="961" spans="1:33" s="32" customFormat="1" ht="15" customHeight="1">
      <c r="A961" s="37">
        <v>43852</v>
      </c>
      <c r="B961" s="20" t="s">
        <v>27</v>
      </c>
      <c r="C961" s="20" t="s">
        <v>46</v>
      </c>
      <c r="D961" s="20">
        <v>190</v>
      </c>
      <c r="E961" s="38">
        <v>2700</v>
      </c>
      <c r="F961" s="20" t="s">
        <v>8</v>
      </c>
      <c r="G961" s="43">
        <v>2.7</v>
      </c>
      <c r="H961" s="43">
        <v>3</v>
      </c>
      <c r="I961" s="43">
        <v>0</v>
      </c>
      <c r="J961" s="43">
        <v>0</v>
      </c>
      <c r="K961" s="1">
        <f t="shared" si="1980"/>
        <v>809.99999999999955</v>
      </c>
      <c r="L961" s="43">
        <v>0</v>
      </c>
      <c r="M961" s="43">
        <v>0</v>
      </c>
      <c r="N961" s="1">
        <f t="shared" si="1950"/>
        <v>0.29999999999999982</v>
      </c>
      <c r="O961" s="1">
        <f t="shared" si="1951"/>
        <v>809.99999999999955</v>
      </c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  <c r="AA961" s="31"/>
      <c r="AB961" s="31"/>
      <c r="AC961" s="31"/>
      <c r="AD961" s="31"/>
      <c r="AE961" s="31"/>
      <c r="AF961" s="31"/>
      <c r="AG961" s="31"/>
    </row>
    <row r="962" spans="1:33" s="32" customFormat="1" ht="15" customHeight="1">
      <c r="A962" s="37">
        <v>43851</v>
      </c>
      <c r="B962" s="20" t="s">
        <v>38</v>
      </c>
      <c r="C962" s="20" t="s">
        <v>46</v>
      </c>
      <c r="D962" s="20">
        <v>7300</v>
      </c>
      <c r="E962" s="38">
        <v>100</v>
      </c>
      <c r="F962" s="20" t="s">
        <v>8</v>
      </c>
      <c r="G962" s="43">
        <v>102</v>
      </c>
      <c r="H962" s="43">
        <v>122</v>
      </c>
      <c r="I962" s="43">
        <v>0</v>
      </c>
      <c r="J962" s="43">
        <v>0</v>
      </c>
      <c r="K962" s="1">
        <f t="shared" si="1980"/>
        <v>2000</v>
      </c>
      <c r="L962" s="43">
        <v>0</v>
      </c>
      <c r="M962" s="43">
        <v>0</v>
      </c>
      <c r="N962" s="1">
        <f t="shared" si="1950"/>
        <v>20</v>
      </c>
      <c r="O962" s="1">
        <f t="shared" si="1951"/>
        <v>2000</v>
      </c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  <c r="AA962" s="31"/>
      <c r="AB962" s="31"/>
      <c r="AC962" s="31"/>
      <c r="AD962" s="31"/>
      <c r="AE962" s="31"/>
      <c r="AF962" s="31"/>
      <c r="AG962" s="31"/>
    </row>
    <row r="963" spans="1:33" s="32" customFormat="1" ht="15" customHeight="1">
      <c r="A963" s="37">
        <v>43851</v>
      </c>
      <c r="B963" s="20" t="s">
        <v>466</v>
      </c>
      <c r="C963" s="20" t="s">
        <v>47</v>
      </c>
      <c r="D963" s="20">
        <v>550</v>
      </c>
      <c r="E963" s="38">
        <v>1375</v>
      </c>
      <c r="F963" s="20" t="s">
        <v>8</v>
      </c>
      <c r="G963" s="43">
        <v>8</v>
      </c>
      <c r="H963" s="43">
        <v>6.2</v>
      </c>
      <c r="I963" s="43">
        <v>0</v>
      </c>
      <c r="J963" s="43">
        <v>0</v>
      </c>
      <c r="K963" s="1">
        <f t="shared" si="1980"/>
        <v>-2474.9999999999995</v>
      </c>
      <c r="L963" s="43">
        <v>0</v>
      </c>
      <c r="M963" s="43">
        <v>0</v>
      </c>
      <c r="N963" s="1">
        <f t="shared" si="1950"/>
        <v>-1.7999999999999996</v>
      </c>
      <c r="O963" s="1">
        <f t="shared" si="1951"/>
        <v>-2474.9999999999995</v>
      </c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  <c r="AA963" s="31"/>
      <c r="AB963" s="31"/>
      <c r="AC963" s="31"/>
      <c r="AD963" s="31"/>
      <c r="AE963" s="31"/>
      <c r="AF963" s="31"/>
      <c r="AG963" s="31"/>
    </row>
    <row r="964" spans="1:33" s="32" customFormat="1" ht="15" customHeight="1">
      <c r="A964" s="37">
        <v>43850</v>
      </c>
      <c r="B964" s="20" t="s">
        <v>476</v>
      </c>
      <c r="C964" s="20" t="s">
        <v>47</v>
      </c>
      <c r="D964" s="20">
        <v>187.5</v>
      </c>
      <c r="E964" s="38">
        <v>6000</v>
      </c>
      <c r="F964" s="20" t="s">
        <v>8</v>
      </c>
      <c r="G964" s="43">
        <v>4</v>
      </c>
      <c r="H964" s="43">
        <v>3.35</v>
      </c>
      <c r="I964" s="43">
        <v>0</v>
      </c>
      <c r="J964" s="43">
        <v>0</v>
      </c>
      <c r="K964" s="1">
        <f t="shared" si="1980"/>
        <v>-3899.9999999999995</v>
      </c>
      <c r="L964" s="43">
        <v>0</v>
      </c>
      <c r="M964" s="43">
        <v>0</v>
      </c>
      <c r="N964" s="1">
        <f t="shared" si="1950"/>
        <v>-0.64999999999999991</v>
      </c>
      <c r="O964" s="1">
        <f t="shared" si="1951"/>
        <v>-3899.9999999999995</v>
      </c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  <c r="AA964" s="31"/>
      <c r="AB964" s="31"/>
      <c r="AC964" s="31"/>
      <c r="AD964" s="31"/>
      <c r="AE964" s="31"/>
      <c r="AF964" s="31"/>
      <c r="AG964" s="31"/>
    </row>
    <row r="965" spans="1:33" s="32" customFormat="1" ht="15" customHeight="1">
      <c r="A965" s="37">
        <v>43850</v>
      </c>
      <c r="B965" s="20" t="s">
        <v>28</v>
      </c>
      <c r="C965" s="20" t="s">
        <v>47</v>
      </c>
      <c r="D965" s="20">
        <v>1580</v>
      </c>
      <c r="E965" s="38">
        <v>1851</v>
      </c>
      <c r="F965" s="20" t="s">
        <v>8</v>
      </c>
      <c r="G965" s="43">
        <v>5.8</v>
      </c>
      <c r="H965" s="43">
        <v>7</v>
      </c>
      <c r="I965" s="43">
        <v>0</v>
      </c>
      <c r="J965" s="43">
        <v>0</v>
      </c>
      <c r="K965" s="1">
        <f t="shared" ref="K965" si="1981">(IF(F965="SELL",G965-H965,IF(F965="BUY",H965-G965)))*E965</f>
        <v>2221.2000000000003</v>
      </c>
      <c r="L965" s="43">
        <v>0</v>
      </c>
      <c r="M965" s="43">
        <v>0</v>
      </c>
      <c r="N965" s="1">
        <f t="shared" si="1950"/>
        <v>1.2000000000000002</v>
      </c>
      <c r="O965" s="1">
        <f t="shared" si="1951"/>
        <v>2221.2000000000003</v>
      </c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  <c r="AA965" s="31"/>
      <c r="AB965" s="31"/>
      <c r="AC965" s="31"/>
      <c r="AD965" s="31"/>
      <c r="AE965" s="31"/>
      <c r="AF965" s="31"/>
      <c r="AG965" s="31"/>
    </row>
    <row r="966" spans="1:33" s="32" customFormat="1" ht="15" customHeight="1">
      <c r="A966" s="37">
        <v>43850</v>
      </c>
      <c r="B966" s="20" t="s">
        <v>420</v>
      </c>
      <c r="C966" s="20" t="s">
        <v>47</v>
      </c>
      <c r="D966" s="20">
        <v>1880</v>
      </c>
      <c r="E966" s="38">
        <v>600</v>
      </c>
      <c r="F966" s="20" t="s">
        <v>8</v>
      </c>
      <c r="G966" s="43">
        <v>22.5</v>
      </c>
      <c r="H966" s="43">
        <v>24.5</v>
      </c>
      <c r="I966" s="43">
        <v>0</v>
      </c>
      <c r="J966" s="43">
        <v>0</v>
      </c>
      <c r="K966" s="1">
        <f t="shared" ref="K966" si="1982">(IF(F966="SELL",G966-H966,IF(F966="BUY",H966-G966)))*E966</f>
        <v>1200</v>
      </c>
      <c r="L966" s="43">
        <v>0</v>
      </c>
      <c r="M966" s="43">
        <v>0</v>
      </c>
      <c r="N966" s="1">
        <f t="shared" si="1950"/>
        <v>2</v>
      </c>
      <c r="O966" s="1">
        <f t="shared" si="1951"/>
        <v>1200</v>
      </c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  <c r="AA966" s="31"/>
      <c r="AB966" s="31"/>
      <c r="AC966" s="31"/>
      <c r="AD966" s="31"/>
      <c r="AE966" s="31"/>
      <c r="AF966" s="31"/>
      <c r="AG966" s="31"/>
    </row>
    <row r="967" spans="1:33" s="32" customFormat="1" ht="15" customHeight="1">
      <c r="A967" s="37">
        <v>43847</v>
      </c>
      <c r="B967" s="20" t="s">
        <v>39</v>
      </c>
      <c r="C967" s="20" t="s">
        <v>47</v>
      </c>
      <c r="D967" s="20">
        <v>1580</v>
      </c>
      <c r="E967" s="38">
        <v>500</v>
      </c>
      <c r="F967" s="20" t="s">
        <v>8</v>
      </c>
      <c r="G967" s="43">
        <v>30</v>
      </c>
      <c r="H967" s="43">
        <v>35</v>
      </c>
      <c r="I967" s="43">
        <v>0</v>
      </c>
      <c r="J967" s="43">
        <v>0</v>
      </c>
      <c r="K967" s="1">
        <f t="shared" ref="K967" si="1983">(IF(F967="SELL",G967-H967,IF(F967="BUY",H967-G967)))*E967</f>
        <v>2500</v>
      </c>
      <c r="L967" s="43">
        <v>0</v>
      </c>
      <c r="M967" s="43">
        <v>0</v>
      </c>
      <c r="N967" s="1">
        <f t="shared" si="1950"/>
        <v>5</v>
      </c>
      <c r="O967" s="1">
        <f t="shared" si="1951"/>
        <v>2500</v>
      </c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1"/>
      <c r="AD967" s="31"/>
      <c r="AE967" s="31"/>
      <c r="AF967" s="31"/>
      <c r="AG967" s="31"/>
    </row>
    <row r="968" spans="1:33" s="32" customFormat="1" ht="15" customHeight="1">
      <c r="A968" s="37">
        <v>43847</v>
      </c>
      <c r="B968" s="20" t="s">
        <v>22</v>
      </c>
      <c r="C968" s="20" t="s">
        <v>47</v>
      </c>
      <c r="D968" s="20">
        <v>260</v>
      </c>
      <c r="E968" s="38">
        <v>3300</v>
      </c>
      <c r="F968" s="20" t="s">
        <v>8</v>
      </c>
      <c r="G968" s="43">
        <v>7.8</v>
      </c>
      <c r="H968" s="43">
        <v>8.6</v>
      </c>
      <c r="I968" s="43">
        <v>0</v>
      </c>
      <c r="J968" s="43">
        <v>0</v>
      </c>
      <c r="K968" s="1">
        <f t="shared" ref="K968" si="1984">(IF(F968="SELL",G968-H968,IF(F968="BUY",H968-G968)))*E968</f>
        <v>2639.9999999999995</v>
      </c>
      <c r="L968" s="43">
        <v>0</v>
      </c>
      <c r="M968" s="43">
        <v>0</v>
      </c>
      <c r="N968" s="1">
        <f t="shared" si="1950"/>
        <v>0.79999999999999982</v>
      </c>
      <c r="O968" s="1">
        <f t="shared" si="1951"/>
        <v>2639.9999999999995</v>
      </c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1"/>
      <c r="AD968" s="31"/>
      <c r="AE968" s="31"/>
      <c r="AF968" s="31"/>
      <c r="AG968" s="31"/>
    </row>
    <row r="969" spans="1:33" s="32" customFormat="1" ht="15" customHeight="1">
      <c r="A969" s="37">
        <v>43846</v>
      </c>
      <c r="B969" s="20" t="s">
        <v>368</v>
      </c>
      <c r="C969" s="20" t="s">
        <v>47</v>
      </c>
      <c r="D969" s="20">
        <v>280</v>
      </c>
      <c r="E969" s="38">
        <v>1700</v>
      </c>
      <c r="F969" s="20" t="s">
        <v>8</v>
      </c>
      <c r="G969" s="43">
        <v>11</v>
      </c>
      <c r="H969" s="43">
        <v>12</v>
      </c>
      <c r="I969" s="43">
        <v>13</v>
      </c>
      <c r="J969" s="43">
        <v>0</v>
      </c>
      <c r="K969" s="1">
        <f t="shared" ref="K969" si="1985">(IF(F969="SELL",G969-H969,IF(F969="BUY",H969-G969)))*E969</f>
        <v>1700</v>
      </c>
      <c r="L969" s="43">
        <f>E969*1</f>
        <v>1700</v>
      </c>
      <c r="M969" s="43">
        <v>0</v>
      </c>
      <c r="N969" s="1">
        <f t="shared" si="1950"/>
        <v>2</v>
      </c>
      <c r="O969" s="1">
        <f t="shared" si="1951"/>
        <v>3400</v>
      </c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1"/>
      <c r="AD969" s="31"/>
      <c r="AE969" s="31"/>
      <c r="AF969" s="31"/>
      <c r="AG969" s="31"/>
    </row>
    <row r="970" spans="1:33" s="32" customFormat="1" ht="15" customHeight="1">
      <c r="A970" s="37">
        <v>43846</v>
      </c>
      <c r="B970" s="20" t="s">
        <v>26</v>
      </c>
      <c r="C970" s="20" t="s">
        <v>46</v>
      </c>
      <c r="D970" s="20">
        <v>1860</v>
      </c>
      <c r="E970" s="38">
        <v>1500</v>
      </c>
      <c r="F970" s="20" t="s">
        <v>8</v>
      </c>
      <c r="G970" s="43">
        <v>9.9</v>
      </c>
      <c r="H970" s="43">
        <v>11.5</v>
      </c>
      <c r="I970" s="43">
        <v>0</v>
      </c>
      <c r="J970" s="43">
        <v>0</v>
      </c>
      <c r="K970" s="1">
        <f t="shared" ref="K970" si="1986">(IF(F970="SELL",G970-H970,IF(F970="BUY",H970-G970)))*E970</f>
        <v>2399.9999999999995</v>
      </c>
      <c r="L970" s="43">
        <v>0</v>
      </c>
      <c r="M970" s="43">
        <v>0</v>
      </c>
      <c r="N970" s="1">
        <f t="shared" si="1950"/>
        <v>1.5999999999999996</v>
      </c>
      <c r="O970" s="1">
        <f t="shared" si="1951"/>
        <v>2399.9999999999995</v>
      </c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  <c r="AA970" s="31"/>
      <c r="AB970" s="31"/>
      <c r="AC970" s="31"/>
      <c r="AD970" s="31"/>
      <c r="AE970" s="31"/>
      <c r="AF970" s="31"/>
      <c r="AG970" s="31"/>
    </row>
    <row r="971" spans="1:33" s="32" customFormat="1" ht="15" customHeight="1">
      <c r="A971" s="37">
        <v>43846</v>
      </c>
      <c r="B971" s="20" t="s">
        <v>37</v>
      </c>
      <c r="C971" s="20" t="s">
        <v>47</v>
      </c>
      <c r="D971" s="20">
        <v>2240</v>
      </c>
      <c r="E971" s="38">
        <v>250</v>
      </c>
      <c r="F971" s="20" t="s">
        <v>8</v>
      </c>
      <c r="G971" s="43">
        <v>52</v>
      </c>
      <c r="H971" s="43">
        <v>53</v>
      </c>
      <c r="I971" s="43">
        <v>0</v>
      </c>
      <c r="J971" s="43">
        <v>0</v>
      </c>
      <c r="K971" s="1">
        <f t="shared" ref="K971" si="1987">(IF(F971="SELL",G971-H971,IF(F971="BUY",H971-G971)))*E971</f>
        <v>250</v>
      </c>
      <c r="L971" s="43">
        <v>0</v>
      </c>
      <c r="M971" s="43">
        <v>0</v>
      </c>
      <c r="N971" s="1">
        <f t="shared" si="1950"/>
        <v>1</v>
      </c>
      <c r="O971" s="1">
        <f t="shared" si="1951"/>
        <v>250</v>
      </c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  <c r="AA971" s="31"/>
      <c r="AB971" s="31"/>
      <c r="AC971" s="31"/>
      <c r="AD971" s="31"/>
      <c r="AE971" s="31"/>
      <c r="AF971" s="31"/>
      <c r="AG971" s="31"/>
    </row>
    <row r="972" spans="1:33" s="32" customFormat="1" ht="15" customHeight="1">
      <c r="A972" s="37">
        <v>43845</v>
      </c>
      <c r="B972" s="20" t="s">
        <v>420</v>
      </c>
      <c r="C972" s="20" t="s">
        <v>47</v>
      </c>
      <c r="D972" s="20">
        <v>1860</v>
      </c>
      <c r="E972" s="38">
        <v>600</v>
      </c>
      <c r="F972" s="20" t="s">
        <v>8</v>
      </c>
      <c r="G972" s="43">
        <v>23</v>
      </c>
      <c r="H972" s="43">
        <v>28</v>
      </c>
      <c r="I972" s="43">
        <v>0</v>
      </c>
      <c r="J972" s="43">
        <v>0</v>
      </c>
      <c r="K972" s="1">
        <f t="shared" ref="K972" si="1988">(IF(F972="SELL",G972-H972,IF(F972="BUY",H972-G972)))*E972</f>
        <v>3000</v>
      </c>
      <c r="L972" s="43">
        <v>0</v>
      </c>
      <c r="M972" s="43">
        <v>0</v>
      </c>
      <c r="N972" s="1">
        <f t="shared" si="1950"/>
        <v>5</v>
      </c>
      <c r="O972" s="1">
        <f t="shared" si="1951"/>
        <v>3000</v>
      </c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  <c r="AA972" s="31"/>
      <c r="AB972" s="31"/>
      <c r="AC972" s="31"/>
      <c r="AD972" s="31"/>
      <c r="AE972" s="31"/>
      <c r="AF972" s="31"/>
      <c r="AG972" s="31"/>
    </row>
    <row r="973" spans="1:33" s="32" customFormat="1" ht="15" customHeight="1">
      <c r="A973" s="37">
        <v>43845</v>
      </c>
      <c r="B973" s="20" t="s">
        <v>10</v>
      </c>
      <c r="C973" s="20" t="s">
        <v>46</v>
      </c>
      <c r="D973" s="20">
        <v>640</v>
      </c>
      <c r="E973" s="38">
        <v>1000</v>
      </c>
      <c r="F973" s="20" t="s">
        <v>8</v>
      </c>
      <c r="G973" s="43">
        <v>15</v>
      </c>
      <c r="H973" s="43">
        <v>16.5</v>
      </c>
      <c r="I973" s="43">
        <v>0</v>
      </c>
      <c r="J973" s="43">
        <v>0</v>
      </c>
      <c r="K973" s="1">
        <f t="shared" ref="K973" si="1989">(IF(F973="SELL",G973-H973,IF(F973="BUY",H973-G973)))*E973</f>
        <v>1500</v>
      </c>
      <c r="L973" s="43">
        <v>0</v>
      </c>
      <c r="M973" s="43">
        <v>0</v>
      </c>
      <c r="N973" s="1">
        <f t="shared" si="1950"/>
        <v>1.5</v>
      </c>
      <c r="O973" s="1">
        <f t="shared" si="1951"/>
        <v>1500</v>
      </c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  <c r="AA973" s="31"/>
      <c r="AB973" s="31"/>
      <c r="AC973" s="31"/>
      <c r="AD973" s="31"/>
      <c r="AE973" s="31"/>
      <c r="AF973" s="31"/>
      <c r="AG973" s="31"/>
    </row>
    <row r="974" spans="1:33" s="32" customFormat="1" ht="15" customHeight="1">
      <c r="A974" s="37">
        <v>43845</v>
      </c>
      <c r="B974" s="20" t="s">
        <v>473</v>
      </c>
      <c r="C974" s="20" t="s">
        <v>46</v>
      </c>
      <c r="D974" s="20">
        <v>245</v>
      </c>
      <c r="E974" s="38">
        <v>2400</v>
      </c>
      <c r="F974" s="20" t="s">
        <v>8</v>
      </c>
      <c r="G974" s="43">
        <v>6.1</v>
      </c>
      <c r="H974" s="43">
        <v>6.1</v>
      </c>
      <c r="I974" s="43">
        <v>0</v>
      </c>
      <c r="J974" s="43">
        <v>0</v>
      </c>
      <c r="K974" s="1">
        <f t="shared" ref="K974" si="1990">(IF(F974="SELL",G974-H974,IF(F974="BUY",H974-G974)))*E974</f>
        <v>0</v>
      </c>
      <c r="L974" s="43">
        <v>0</v>
      </c>
      <c r="M974" s="43">
        <v>0</v>
      </c>
      <c r="N974" s="1">
        <f t="shared" si="1950"/>
        <v>0</v>
      </c>
      <c r="O974" s="1">
        <f t="shared" si="1951"/>
        <v>0</v>
      </c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  <c r="AA974" s="31"/>
      <c r="AB974" s="31"/>
      <c r="AC974" s="31"/>
      <c r="AD974" s="31"/>
      <c r="AE974" s="31"/>
      <c r="AF974" s="31"/>
      <c r="AG974" s="31"/>
    </row>
    <row r="975" spans="1:33" s="32" customFormat="1" ht="15" customHeight="1">
      <c r="A975" s="37">
        <v>43844</v>
      </c>
      <c r="B975" s="20" t="s">
        <v>13</v>
      </c>
      <c r="C975" s="20" t="s">
        <v>47</v>
      </c>
      <c r="D975" s="20">
        <v>580</v>
      </c>
      <c r="E975" s="38">
        <v>1400</v>
      </c>
      <c r="F975" s="20" t="s">
        <v>8</v>
      </c>
      <c r="G975" s="43">
        <v>22.25</v>
      </c>
      <c r="H975" s="43">
        <v>24.02</v>
      </c>
      <c r="I975" s="43">
        <v>26.2</v>
      </c>
      <c r="J975" s="43">
        <v>0</v>
      </c>
      <c r="K975" s="1">
        <f t="shared" ref="K975" si="1991">(IF(F975="SELL",G975-H975,IF(F975="BUY",H975-G975)))*E975</f>
        <v>2477.9999999999995</v>
      </c>
      <c r="L975" s="43">
        <f>E975*2</f>
        <v>2800</v>
      </c>
      <c r="M975" s="43">
        <v>0</v>
      </c>
      <c r="N975" s="1">
        <f t="shared" si="1950"/>
        <v>3.77</v>
      </c>
      <c r="O975" s="1">
        <f t="shared" si="1951"/>
        <v>5278</v>
      </c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  <c r="AA975" s="31"/>
      <c r="AB975" s="31"/>
      <c r="AC975" s="31"/>
      <c r="AD975" s="31"/>
      <c r="AE975" s="31"/>
      <c r="AF975" s="31"/>
      <c r="AG975" s="31"/>
    </row>
    <row r="976" spans="1:33" s="32" customFormat="1" ht="15" customHeight="1">
      <c r="A976" s="37">
        <v>43844</v>
      </c>
      <c r="B976" s="20" t="s">
        <v>475</v>
      </c>
      <c r="C976" s="20" t="s">
        <v>47</v>
      </c>
      <c r="D976" s="20">
        <v>1800</v>
      </c>
      <c r="E976" s="38">
        <v>375</v>
      </c>
      <c r="F976" s="20" t="s">
        <v>8</v>
      </c>
      <c r="G976" s="43">
        <v>24</v>
      </c>
      <c r="H976" s="43">
        <v>27.65</v>
      </c>
      <c r="I976" s="43">
        <v>0</v>
      </c>
      <c r="J976" s="43">
        <v>0</v>
      </c>
      <c r="K976" s="1">
        <f t="shared" ref="K976" si="1992">(IF(F976="SELL",G976-H976,IF(F976="BUY",H976-G976)))*E976</f>
        <v>1368.7499999999995</v>
      </c>
      <c r="L976" s="43">
        <v>0</v>
      </c>
      <c r="M976" s="43">
        <v>0</v>
      </c>
      <c r="N976" s="1">
        <f t="shared" si="1950"/>
        <v>3.6499999999999986</v>
      </c>
      <c r="O976" s="1">
        <f t="shared" si="1951"/>
        <v>1368.7499999999995</v>
      </c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  <c r="AA976" s="31"/>
      <c r="AB976" s="31"/>
      <c r="AC976" s="31"/>
      <c r="AD976" s="31"/>
      <c r="AE976" s="31"/>
      <c r="AF976" s="31"/>
      <c r="AG976" s="31"/>
    </row>
    <row r="977" spans="1:33" s="32" customFormat="1" ht="15" customHeight="1">
      <c r="A977" s="37">
        <v>43843</v>
      </c>
      <c r="B977" s="20" t="s">
        <v>109</v>
      </c>
      <c r="C977" s="20" t="s">
        <v>47</v>
      </c>
      <c r="D977" s="20">
        <v>255</v>
      </c>
      <c r="E977" s="38">
        <v>3200</v>
      </c>
      <c r="F977" s="20" t="s">
        <v>8</v>
      </c>
      <c r="G977" s="43">
        <v>6.8</v>
      </c>
      <c r="H977" s="43">
        <v>7.6</v>
      </c>
      <c r="I977" s="43">
        <v>0</v>
      </c>
      <c r="J977" s="43">
        <v>0</v>
      </c>
      <c r="K977" s="1">
        <f t="shared" ref="K977" si="1993">(IF(F977="SELL",G977-H977,IF(F977="BUY",H977-G977)))*E977</f>
        <v>2559.9999999999995</v>
      </c>
      <c r="L977" s="43">
        <v>0</v>
      </c>
      <c r="M977" s="43">
        <v>0</v>
      </c>
      <c r="N977" s="1">
        <f t="shared" si="1950"/>
        <v>0.79999999999999982</v>
      </c>
      <c r="O977" s="1">
        <f t="shared" si="1951"/>
        <v>2559.9999999999995</v>
      </c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1"/>
      <c r="AD977" s="31"/>
      <c r="AE977" s="31"/>
      <c r="AF977" s="31"/>
      <c r="AG977" s="31"/>
    </row>
    <row r="978" spans="1:33" s="32" customFormat="1" ht="15" customHeight="1">
      <c r="A978" s="37">
        <v>43843</v>
      </c>
      <c r="B978" s="20" t="s">
        <v>100</v>
      </c>
      <c r="C978" s="20" t="s">
        <v>47</v>
      </c>
      <c r="D978" s="20">
        <v>3550</v>
      </c>
      <c r="E978" s="38">
        <v>250</v>
      </c>
      <c r="F978" s="20" t="s">
        <v>8</v>
      </c>
      <c r="G978" s="43">
        <v>71</v>
      </c>
      <c r="H978" s="43">
        <v>73</v>
      </c>
      <c r="I978" s="43">
        <v>0</v>
      </c>
      <c r="J978" s="43">
        <v>0</v>
      </c>
      <c r="K978" s="1">
        <f t="shared" ref="K978" si="1994">(IF(F978="SELL",G978-H978,IF(F978="BUY",H978-G978)))*E978</f>
        <v>500</v>
      </c>
      <c r="L978" s="43">
        <v>0</v>
      </c>
      <c r="M978" s="43">
        <v>0</v>
      </c>
      <c r="N978" s="1">
        <f t="shared" si="1950"/>
        <v>2</v>
      </c>
      <c r="O978" s="1">
        <f t="shared" si="1951"/>
        <v>500</v>
      </c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1"/>
      <c r="AD978" s="31"/>
      <c r="AE978" s="31"/>
      <c r="AF978" s="31"/>
      <c r="AG978" s="31"/>
    </row>
    <row r="979" spans="1:33" s="32" customFormat="1" ht="15" customHeight="1">
      <c r="A979" s="37">
        <v>43843</v>
      </c>
      <c r="B979" s="20" t="s">
        <v>94</v>
      </c>
      <c r="C979" s="20" t="s">
        <v>46</v>
      </c>
      <c r="D979" s="20">
        <v>1415.4</v>
      </c>
      <c r="E979" s="38">
        <v>309</v>
      </c>
      <c r="F979" s="20" t="s">
        <v>8</v>
      </c>
      <c r="G979" s="43">
        <v>50</v>
      </c>
      <c r="H979" s="43">
        <v>43</v>
      </c>
      <c r="I979" s="43">
        <v>0</v>
      </c>
      <c r="J979" s="43">
        <v>0</v>
      </c>
      <c r="K979" s="1">
        <f t="shared" ref="K979" si="1995">(IF(F979="SELL",G979-H979,IF(F979="BUY",H979-G979)))*E979</f>
        <v>-2163</v>
      </c>
      <c r="L979" s="43">
        <v>0</v>
      </c>
      <c r="M979" s="43">
        <v>0</v>
      </c>
      <c r="N979" s="1">
        <f t="shared" si="1950"/>
        <v>-7</v>
      </c>
      <c r="O979" s="1">
        <f t="shared" si="1951"/>
        <v>-2163</v>
      </c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1"/>
      <c r="AD979" s="31"/>
      <c r="AE979" s="31"/>
      <c r="AF979" s="31"/>
      <c r="AG979" s="31"/>
    </row>
    <row r="980" spans="1:33" s="32" customFormat="1" ht="15" customHeight="1">
      <c r="A980" s="37">
        <v>43840</v>
      </c>
      <c r="B980" s="20" t="s">
        <v>122</v>
      </c>
      <c r="C980" s="20" t="s">
        <v>47</v>
      </c>
      <c r="D980" s="20">
        <v>2460</v>
      </c>
      <c r="E980" s="38">
        <v>250</v>
      </c>
      <c r="F980" s="20" t="s">
        <v>8</v>
      </c>
      <c r="G980" s="43">
        <v>58</v>
      </c>
      <c r="H980" s="43">
        <v>45</v>
      </c>
      <c r="I980" s="43">
        <v>9.5</v>
      </c>
      <c r="J980" s="43">
        <v>10.5</v>
      </c>
      <c r="K980" s="1">
        <f t="shared" ref="K980" si="1996">(IF(F980="SELL",G980-H980,IF(F980="BUY",H980-G980)))*E980</f>
        <v>-3250</v>
      </c>
      <c r="L980" s="43">
        <v>0</v>
      </c>
      <c r="M980" s="43">
        <v>0</v>
      </c>
      <c r="N980" s="1">
        <f t="shared" si="1950"/>
        <v>-13</v>
      </c>
      <c r="O980" s="1">
        <f t="shared" si="1951"/>
        <v>-3250</v>
      </c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  <c r="AA980" s="31"/>
      <c r="AB980" s="31"/>
      <c r="AC980" s="31"/>
      <c r="AD980" s="31"/>
      <c r="AE980" s="31"/>
      <c r="AF980" s="31"/>
      <c r="AG980" s="31"/>
    </row>
    <row r="981" spans="1:33" s="32" customFormat="1" ht="15" customHeight="1">
      <c r="A981" s="37">
        <v>43840</v>
      </c>
      <c r="B981" s="20" t="s">
        <v>420</v>
      </c>
      <c r="C981" s="20" t="s">
        <v>47</v>
      </c>
      <c r="D981" s="20">
        <v>1800</v>
      </c>
      <c r="E981" s="38">
        <v>600</v>
      </c>
      <c r="F981" s="20" t="s">
        <v>8</v>
      </c>
      <c r="G981" s="43">
        <v>33.5</v>
      </c>
      <c r="H981" s="43">
        <v>37.5</v>
      </c>
      <c r="I981" s="43">
        <v>0</v>
      </c>
      <c r="J981" s="43">
        <v>0</v>
      </c>
      <c r="K981" s="1">
        <f t="shared" ref="K981" si="1997">(IF(F981="SELL",G981-H981,IF(F981="BUY",H981-G981)))*E981</f>
        <v>2400</v>
      </c>
      <c r="L981" s="43">
        <v>0</v>
      </c>
      <c r="M981" s="43">
        <v>0</v>
      </c>
      <c r="N981" s="1">
        <f t="shared" si="1950"/>
        <v>4</v>
      </c>
      <c r="O981" s="1">
        <f t="shared" si="1951"/>
        <v>2400</v>
      </c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  <c r="AA981" s="31"/>
      <c r="AB981" s="31"/>
      <c r="AC981" s="31"/>
      <c r="AD981" s="31"/>
      <c r="AE981" s="31"/>
      <c r="AF981" s="31"/>
      <c r="AG981" s="31"/>
    </row>
    <row r="982" spans="1:33" s="32" customFormat="1" ht="15" customHeight="1">
      <c r="A982" s="37">
        <v>43840</v>
      </c>
      <c r="B982" s="20" t="s">
        <v>96</v>
      </c>
      <c r="C982" s="20" t="s">
        <v>47</v>
      </c>
      <c r="D982" s="20">
        <v>540</v>
      </c>
      <c r="E982" s="38">
        <v>1000</v>
      </c>
      <c r="F982" s="20" t="s">
        <v>8</v>
      </c>
      <c r="G982" s="43">
        <v>16</v>
      </c>
      <c r="H982" s="43">
        <v>18</v>
      </c>
      <c r="I982" s="43">
        <v>0</v>
      </c>
      <c r="J982" s="43">
        <v>0</v>
      </c>
      <c r="K982" s="1">
        <f t="shared" ref="K982" si="1998">(IF(F982="SELL",G982-H982,IF(F982="BUY",H982-G982)))*E982</f>
        <v>2000</v>
      </c>
      <c r="L982" s="43">
        <v>0</v>
      </c>
      <c r="M982" s="43">
        <v>0</v>
      </c>
      <c r="N982" s="1">
        <f t="shared" si="1950"/>
        <v>2</v>
      </c>
      <c r="O982" s="1">
        <f t="shared" si="1951"/>
        <v>2000</v>
      </c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  <c r="AA982" s="31"/>
      <c r="AB982" s="31"/>
      <c r="AC982" s="31"/>
      <c r="AD982" s="31"/>
      <c r="AE982" s="31"/>
      <c r="AF982" s="31"/>
      <c r="AG982" s="31"/>
    </row>
    <row r="983" spans="1:33" s="32" customFormat="1" ht="15" customHeight="1">
      <c r="A983" s="37">
        <v>43840</v>
      </c>
      <c r="B983" s="20" t="s">
        <v>10</v>
      </c>
      <c r="C983" s="20" t="s">
        <v>46</v>
      </c>
      <c r="D983" s="20">
        <v>630</v>
      </c>
      <c r="E983" s="38">
        <v>3300</v>
      </c>
      <c r="F983" s="20" t="s">
        <v>8</v>
      </c>
      <c r="G983" s="43">
        <v>12.2</v>
      </c>
      <c r="H983" s="43">
        <v>12</v>
      </c>
      <c r="I983" s="43">
        <v>0</v>
      </c>
      <c r="J983" s="43">
        <v>0</v>
      </c>
      <c r="K983" s="1">
        <v>0</v>
      </c>
      <c r="L983" s="43">
        <v>0</v>
      </c>
      <c r="M983" s="43">
        <v>0</v>
      </c>
      <c r="N983" s="1">
        <f t="shared" si="1950"/>
        <v>0</v>
      </c>
      <c r="O983" s="1">
        <f t="shared" si="1951"/>
        <v>0</v>
      </c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  <c r="AA983" s="31"/>
      <c r="AB983" s="31"/>
      <c r="AC983" s="31"/>
      <c r="AD983" s="31"/>
      <c r="AE983" s="31"/>
      <c r="AF983" s="31"/>
      <c r="AG983" s="31"/>
    </row>
    <row r="984" spans="1:33" s="32" customFormat="1" ht="15" customHeight="1">
      <c r="A984" s="37">
        <v>43839</v>
      </c>
      <c r="B984" s="20" t="s">
        <v>22</v>
      </c>
      <c r="C984" s="20" t="s">
        <v>47</v>
      </c>
      <c r="D984" s="20">
        <v>235</v>
      </c>
      <c r="E984" s="38">
        <v>3300</v>
      </c>
      <c r="F984" s="20" t="s">
        <v>8</v>
      </c>
      <c r="G984" s="43">
        <v>7.5</v>
      </c>
      <c r="H984" s="43">
        <v>8.5</v>
      </c>
      <c r="I984" s="43">
        <v>9.5</v>
      </c>
      <c r="J984" s="43">
        <v>10.5</v>
      </c>
      <c r="K984" s="1">
        <f t="shared" ref="K984" si="1999">(IF(F984="SELL",G984-H984,IF(F984="BUY",H984-G984)))*E984</f>
        <v>3300</v>
      </c>
      <c r="L984" s="43">
        <f>E984*1</f>
        <v>3300</v>
      </c>
      <c r="M984" s="43">
        <f>E984*1</f>
        <v>3300</v>
      </c>
      <c r="N984" s="1">
        <f t="shared" si="1950"/>
        <v>3</v>
      </c>
      <c r="O984" s="1">
        <f t="shared" si="1951"/>
        <v>9900</v>
      </c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  <c r="AA984" s="31"/>
      <c r="AB984" s="31"/>
      <c r="AC984" s="31"/>
      <c r="AD984" s="31"/>
      <c r="AE984" s="31"/>
      <c r="AF984" s="31"/>
      <c r="AG984" s="31"/>
    </row>
    <row r="985" spans="1:33" s="32" customFormat="1" ht="15" customHeight="1">
      <c r="A985" s="37">
        <v>43839</v>
      </c>
      <c r="B985" s="20" t="s">
        <v>100</v>
      </c>
      <c r="C985" s="20" t="s">
        <v>47</v>
      </c>
      <c r="D985" s="20">
        <v>3500</v>
      </c>
      <c r="E985" s="38">
        <v>250</v>
      </c>
      <c r="F985" s="20" t="s">
        <v>8</v>
      </c>
      <c r="G985" s="43">
        <v>85</v>
      </c>
      <c r="H985" s="43">
        <v>95</v>
      </c>
      <c r="I985" s="43">
        <v>0</v>
      </c>
      <c r="J985" s="43">
        <v>0</v>
      </c>
      <c r="K985" s="1">
        <f t="shared" ref="K985" si="2000">(IF(F985="SELL",G985-H985,IF(F985="BUY",H985-G985)))*E985</f>
        <v>2500</v>
      </c>
      <c r="L985" s="43">
        <v>0</v>
      </c>
      <c r="M985" s="43">
        <v>0</v>
      </c>
      <c r="N985" s="1">
        <f t="shared" si="1950"/>
        <v>10</v>
      </c>
      <c r="O985" s="1">
        <f t="shared" si="1951"/>
        <v>2500</v>
      </c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  <c r="AA985" s="31"/>
      <c r="AB985" s="31"/>
      <c r="AC985" s="31"/>
      <c r="AD985" s="31"/>
      <c r="AE985" s="31"/>
      <c r="AF985" s="31"/>
      <c r="AG985" s="31"/>
    </row>
    <row r="986" spans="1:33" s="32" customFormat="1" ht="15" customHeight="1">
      <c r="A986" s="37">
        <v>43838</v>
      </c>
      <c r="B986" s="20" t="s">
        <v>20</v>
      </c>
      <c r="C986" s="20" t="s">
        <v>47</v>
      </c>
      <c r="D986" s="20">
        <v>590</v>
      </c>
      <c r="E986" s="38">
        <v>1200</v>
      </c>
      <c r="F986" s="20" t="s">
        <v>8</v>
      </c>
      <c r="G986" s="43">
        <v>16.5</v>
      </c>
      <c r="H986" s="43">
        <v>18.5</v>
      </c>
      <c r="I986" s="43">
        <v>20.5</v>
      </c>
      <c r="J986" s="43">
        <v>22.7</v>
      </c>
      <c r="K986" s="1">
        <f t="shared" ref="K986" si="2001">(IF(F986="SELL",G986-H986,IF(F986="BUY",H986-G986)))*E986</f>
        <v>2400</v>
      </c>
      <c r="L986" s="43">
        <f>E986*2</f>
        <v>2400</v>
      </c>
      <c r="M986" s="43">
        <f>E986*2.2</f>
        <v>2640</v>
      </c>
      <c r="N986" s="1">
        <f t="shared" si="1950"/>
        <v>6.2</v>
      </c>
      <c r="O986" s="1">
        <f t="shared" si="1951"/>
        <v>7440</v>
      </c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  <c r="AA986" s="31"/>
      <c r="AB986" s="31"/>
      <c r="AC986" s="31"/>
      <c r="AD986" s="31"/>
      <c r="AE986" s="31"/>
      <c r="AF986" s="31"/>
      <c r="AG986" s="31"/>
    </row>
    <row r="987" spans="1:33" s="32" customFormat="1" ht="15" customHeight="1">
      <c r="A987" s="37">
        <v>43838</v>
      </c>
      <c r="B987" s="20" t="s">
        <v>10</v>
      </c>
      <c r="C987" s="20" t="s">
        <v>47</v>
      </c>
      <c r="D987" s="20">
        <v>620</v>
      </c>
      <c r="E987" s="38">
        <v>1000</v>
      </c>
      <c r="F987" s="20" t="s">
        <v>8</v>
      </c>
      <c r="G987" s="43">
        <v>14.8</v>
      </c>
      <c r="H987" s="43">
        <v>16.8</v>
      </c>
      <c r="I987" s="43">
        <v>18</v>
      </c>
      <c r="J987" s="43">
        <v>0</v>
      </c>
      <c r="K987" s="1">
        <f t="shared" ref="K987" si="2002">(IF(F987="SELL",G987-H987,IF(F987="BUY",H987-G987)))*E987</f>
        <v>2000</v>
      </c>
      <c r="L987" s="43">
        <f>E987*2</f>
        <v>2000</v>
      </c>
      <c r="M987" s="43">
        <v>0</v>
      </c>
      <c r="N987" s="1">
        <f t="shared" si="1950"/>
        <v>4</v>
      </c>
      <c r="O987" s="1">
        <f t="shared" si="1951"/>
        <v>4000</v>
      </c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1"/>
      <c r="AD987" s="31"/>
      <c r="AE987" s="31"/>
      <c r="AF987" s="31"/>
      <c r="AG987" s="31"/>
    </row>
    <row r="988" spans="1:33" s="32" customFormat="1" ht="15" customHeight="1">
      <c r="A988" s="37">
        <v>43837</v>
      </c>
      <c r="B988" s="20" t="s">
        <v>13</v>
      </c>
      <c r="C988" s="20" t="s">
        <v>47</v>
      </c>
      <c r="D988" s="20">
        <v>590</v>
      </c>
      <c r="E988" s="38">
        <v>1400</v>
      </c>
      <c r="F988" s="20" t="s">
        <v>8</v>
      </c>
      <c r="G988" s="43">
        <v>16</v>
      </c>
      <c r="H988" s="43">
        <v>15</v>
      </c>
      <c r="I988" s="43">
        <v>0</v>
      </c>
      <c r="J988" s="43">
        <v>0</v>
      </c>
      <c r="K988" s="1">
        <f t="shared" ref="K988" si="2003">(IF(F988="SELL",G988-H988,IF(F988="BUY",H988-G988)))*E988</f>
        <v>-1400</v>
      </c>
      <c r="L988" s="43">
        <v>0</v>
      </c>
      <c r="M988" s="43">
        <v>0</v>
      </c>
      <c r="N988" s="1">
        <f t="shared" si="1950"/>
        <v>-1</v>
      </c>
      <c r="O988" s="1">
        <f t="shared" si="1951"/>
        <v>-1400</v>
      </c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1"/>
      <c r="AD988" s="31"/>
      <c r="AE988" s="31"/>
      <c r="AF988" s="31"/>
      <c r="AG988" s="31"/>
    </row>
    <row r="989" spans="1:33" s="32" customFormat="1" ht="15" customHeight="1">
      <c r="A989" s="37">
        <v>43837</v>
      </c>
      <c r="B989" s="20" t="s">
        <v>415</v>
      </c>
      <c r="C989" s="20" t="s">
        <v>46</v>
      </c>
      <c r="D989" s="20">
        <v>235</v>
      </c>
      <c r="E989" s="38">
        <v>200</v>
      </c>
      <c r="F989" s="20" t="s">
        <v>8</v>
      </c>
      <c r="G989" s="43">
        <v>52</v>
      </c>
      <c r="H989" s="43">
        <v>62</v>
      </c>
      <c r="I989" s="43">
        <v>0</v>
      </c>
      <c r="J989" s="43">
        <v>0</v>
      </c>
      <c r="K989" s="1">
        <f t="shared" ref="K989" si="2004">(IF(F989="SELL",G989-H989,IF(F989="BUY",H989-G989)))*E989</f>
        <v>2000</v>
      </c>
      <c r="L989" s="43">
        <v>0</v>
      </c>
      <c r="M989" s="43">
        <v>0</v>
      </c>
      <c r="N989" s="1">
        <f t="shared" si="1950"/>
        <v>10</v>
      </c>
      <c r="O989" s="1">
        <f t="shared" si="1951"/>
        <v>2000</v>
      </c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1"/>
      <c r="AD989" s="31"/>
      <c r="AE989" s="31"/>
      <c r="AF989" s="31"/>
      <c r="AG989" s="31"/>
    </row>
    <row r="990" spans="1:33" s="32" customFormat="1" ht="15" customHeight="1">
      <c r="A990" s="37">
        <v>43836</v>
      </c>
      <c r="B990" s="20" t="s">
        <v>357</v>
      </c>
      <c r="C990" s="20" t="s">
        <v>47</v>
      </c>
      <c r="D990" s="20">
        <v>820</v>
      </c>
      <c r="E990" s="38">
        <v>800</v>
      </c>
      <c r="F990" s="20" t="s">
        <v>8</v>
      </c>
      <c r="G990" s="43">
        <v>32.5</v>
      </c>
      <c r="H990" s="43">
        <v>35.5</v>
      </c>
      <c r="I990" s="43">
        <v>0</v>
      </c>
      <c r="J990" s="43">
        <v>0</v>
      </c>
      <c r="K990" s="1">
        <f t="shared" ref="K990" si="2005">(IF(F990="SELL",G990-H990,IF(F990="BUY",H990-G990)))*E990</f>
        <v>2400</v>
      </c>
      <c r="L990" s="43">
        <v>0</v>
      </c>
      <c r="M990" s="43">
        <v>0</v>
      </c>
      <c r="N990" s="1">
        <f t="shared" si="1950"/>
        <v>3</v>
      </c>
      <c r="O990" s="1">
        <f t="shared" si="1951"/>
        <v>2400</v>
      </c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  <c r="AA990" s="31"/>
      <c r="AB990" s="31"/>
      <c r="AC990" s="31"/>
      <c r="AD990" s="31"/>
      <c r="AE990" s="31"/>
      <c r="AF990" s="31"/>
      <c r="AG990" s="31"/>
    </row>
    <row r="991" spans="1:33" s="32" customFormat="1" ht="15" customHeight="1">
      <c r="A991" s="37">
        <v>43836</v>
      </c>
      <c r="B991" s="20" t="s">
        <v>405</v>
      </c>
      <c r="C991" s="20" t="s">
        <v>46</v>
      </c>
      <c r="D991" s="20">
        <v>260</v>
      </c>
      <c r="E991" s="38">
        <v>1700</v>
      </c>
      <c r="F991" s="20" t="s">
        <v>8</v>
      </c>
      <c r="G991" s="43">
        <v>12.2</v>
      </c>
      <c r="H991" s="43">
        <v>14.2</v>
      </c>
      <c r="I991" s="43">
        <v>0</v>
      </c>
      <c r="J991" s="43">
        <v>0</v>
      </c>
      <c r="K991" s="1">
        <f t="shared" ref="K991" si="2006">(IF(F991="SELL",G991-H991,IF(F991="BUY",H991-G991)))*E991</f>
        <v>3400</v>
      </c>
      <c r="L991" s="43">
        <v>0</v>
      </c>
      <c r="M991" s="43">
        <v>0</v>
      </c>
      <c r="N991" s="1">
        <f t="shared" si="1950"/>
        <v>2</v>
      </c>
      <c r="O991" s="1">
        <f t="shared" si="1951"/>
        <v>3400</v>
      </c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  <c r="AA991" s="31"/>
      <c r="AB991" s="31"/>
      <c r="AC991" s="31"/>
      <c r="AD991" s="31"/>
      <c r="AE991" s="31"/>
      <c r="AF991" s="31"/>
      <c r="AG991" s="31"/>
    </row>
    <row r="992" spans="1:33" s="32" customFormat="1" ht="15" customHeight="1">
      <c r="A992" s="37">
        <v>43833</v>
      </c>
      <c r="B992" s="20" t="s">
        <v>62</v>
      </c>
      <c r="C992" s="20" t="s">
        <v>47</v>
      </c>
      <c r="D992" s="20">
        <v>145</v>
      </c>
      <c r="E992" s="38">
        <v>6200</v>
      </c>
      <c r="F992" s="20" t="s">
        <v>8</v>
      </c>
      <c r="G992" s="43">
        <v>4.3</v>
      </c>
      <c r="H992" s="43">
        <v>3.7</v>
      </c>
      <c r="I992" s="43">
        <v>0</v>
      </c>
      <c r="J992" s="43">
        <v>0</v>
      </c>
      <c r="K992" s="1">
        <f t="shared" ref="K992" si="2007">(IF(F992="SELL",G992-H992,IF(F992="BUY",H992-G992)))*E992</f>
        <v>-3719.9999999999977</v>
      </c>
      <c r="L992" s="43">
        <v>0</v>
      </c>
      <c r="M992" s="43">
        <v>0</v>
      </c>
      <c r="N992" s="1">
        <f t="shared" ref="N992:N1055" si="2008">(L992+K992+M992)/E992</f>
        <v>-0.59999999999999964</v>
      </c>
      <c r="O992" s="1">
        <f t="shared" ref="O992:O1055" si="2009">N992*E992</f>
        <v>-3719.9999999999977</v>
      </c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  <c r="AA992" s="31"/>
      <c r="AB992" s="31"/>
      <c r="AC992" s="31"/>
      <c r="AD992" s="31"/>
      <c r="AE992" s="31"/>
      <c r="AF992" s="31"/>
      <c r="AG992" s="31"/>
    </row>
    <row r="993" spans="1:33" s="32" customFormat="1" ht="15" customHeight="1">
      <c r="A993" s="37">
        <v>43833</v>
      </c>
      <c r="B993" s="20" t="s">
        <v>417</v>
      </c>
      <c r="C993" s="20" t="s">
        <v>47</v>
      </c>
      <c r="D993" s="20">
        <v>360</v>
      </c>
      <c r="E993" s="38">
        <v>1400</v>
      </c>
      <c r="F993" s="20" t="s">
        <v>8</v>
      </c>
      <c r="G993" s="43">
        <v>14.7</v>
      </c>
      <c r="H993" s="43">
        <v>12</v>
      </c>
      <c r="I993" s="43">
        <v>0</v>
      </c>
      <c r="J993" s="43">
        <v>0</v>
      </c>
      <c r="K993" s="1">
        <f t="shared" ref="K993" si="2010">(IF(F993="SELL",G993-H993,IF(F993="BUY",H993-G993)))*E993</f>
        <v>-3779.9999999999991</v>
      </c>
      <c r="L993" s="43">
        <v>0</v>
      </c>
      <c r="M993" s="43">
        <v>0</v>
      </c>
      <c r="N993" s="1">
        <f t="shared" si="2008"/>
        <v>-2.6999999999999993</v>
      </c>
      <c r="O993" s="1">
        <f t="shared" si="2009"/>
        <v>-3779.9999999999991</v>
      </c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  <c r="AA993" s="31"/>
      <c r="AB993" s="31"/>
      <c r="AC993" s="31"/>
      <c r="AD993" s="31"/>
      <c r="AE993" s="31"/>
      <c r="AF993" s="31"/>
      <c r="AG993" s="31"/>
    </row>
    <row r="994" spans="1:33" s="32" customFormat="1" ht="15" customHeight="1">
      <c r="A994" s="37">
        <v>43833</v>
      </c>
      <c r="B994" s="20" t="s">
        <v>128</v>
      </c>
      <c r="C994" s="20" t="s">
        <v>47</v>
      </c>
      <c r="D994" s="20">
        <v>1660</v>
      </c>
      <c r="E994" s="38">
        <v>400</v>
      </c>
      <c r="F994" s="20" t="s">
        <v>8</v>
      </c>
      <c r="G994" s="43">
        <v>43.5</v>
      </c>
      <c r="H994" s="43">
        <v>48.45</v>
      </c>
      <c r="I994" s="43">
        <v>0</v>
      </c>
      <c r="J994" s="43">
        <v>0</v>
      </c>
      <c r="K994" s="1">
        <f t="shared" ref="K994" si="2011">(IF(F994="SELL",G994-H994,IF(F994="BUY",H994-G994)))*E994</f>
        <v>1980.0000000000011</v>
      </c>
      <c r="L994" s="43">
        <v>0</v>
      </c>
      <c r="M994" s="43">
        <v>0</v>
      </c>
      <c r="N994" s="1">
        <f t="shared" si="2008"/>
        <v>4.9500000000000028</v>
      </c>
      <c r="O994" s="1">
        <f t="shared" si="2009"/>
        <v>1980.0000000000011</v>
      </c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  <c r="AA994" s="31"/>
      <c r="AB994" s="31"/>
      <c r="AC994" s="31"/>
      <c r="AD994" s="31"/>
      <c r="AE994" s="31"/>
      <c r="AF994" s="31"/>
      <c r="AG994" s="31"/>
    </row>
    <row r="995" spans="1:33" s="32" customFormat="1" ht="15" customHeight="1">
      <c r="A995" s="37">
        <v>43832</v>
      </c>
      <c r="B995" s="20" t="s">
        <v>404</v>
      </c>
      <c r="C995" s="20" t="s">
        <v>47</v>
      </c>
      <c r="D995" s="20">
        <v>145</v>
      </c>
      <c r="E995" s="38">
        <v>6000</v>
      </c>
      <c r="F995" s="20" t="s">
        <v>8</v>
      </c>
      <c r="G995" s="43">
        <v>4.7</v>
      </c>
      <c r="H995" s="43">
        <v>5.2</v>
      </c>
      <c r="I995" s="43">
        <v>0</v>
      </c>
      <c r="J995" s="43">
        <v>0</v>
      </c>
      <c r="K995" s="1">
        <f t="shared" ref="K995" si="2012">(IF(F995="SELL",G995-H995,IF(F995="BUY",H995-G995)))*E995</f>
        <v>3000</v>
      </c>
      <c r="L995" s="43">
        <v>0</v>
      </c>
      <c r="M995" s="43">
        <v>0</v>
      </c>
      <c r="N995" s="1">
        <f t="shared" si="2008"/>
        <v>0.5</v>
      </c>
      <c r="O995" s="1">
        <f t="shared" si="2009"/>
        <v>3000</v>
      </c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  <c r="AA995" s="31"/>
      <c r="AB995" s="31"/>
      <c r="AC995" s="31"/>
      <c r="AD995" s="31"/>
      <c r="AE995" s="31"/>
      <c r="AF995" s="31"/>
      <c r="AG995" s="31"/>
    </row>
    <row r="996" spans="1:33" s="32" customFormat="1" ht="15" customHeight="1">
      <c r="A996" s="37">
        <v>43832</v>
      </c>
      <c r="B996" s="20" t="s">
        <v>279</v>
      </c>
      <c r="C996" s="20" t="s">
        <v>47</v>
      </c>
      <c r="D996" s="20">
        <v>185</v>
      </c>
      <c r="E996" s="38">
        <v>2900</v>
      </c>
      <c r="F996" s="20" t="s">
        <v>8</v>
      </c>
      <c r="G996" s="43">
        <v>7.4</v>
      </c>
      <c r="H996" s="43">
        <v>8.1999999999999993</v>
      </c>
      <c r="I996" s="43">
        <v>0</v>
      </c>
      <c r="J996" s="43">
        <v>0</v>
      </c>
      <c r="K996" s="1">
        <f t="shared" ref="K996" si="2013">(IF(F996="SELL",G996-H996,IF(F996="BUY",H996-G996)))*E996</f>
        <v>2319.9999999999968</v>
      </c>
      <c r="L996" s="43">
        <v>0</v>
      </c>
      <c r="M996" s="43">
        <v>0</v>
      </c>
      <c r="N996" s="1">
        <f t="shared" si="2008"/>
        <v>0.79999999999999893</v>
      </c>
      <c r="O996" s="1">
        <f t="shared" si="2009"/>
        <v>2319.9999999999968</v>
      </c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  <c r="AA996" s="31"/>
      <c r="AB996" s="31"/>
      <c r="AC996" s="31"/>
      <c r="AD996" s="31"/>
      <c r="AE996" s="31"/>
      <c r="AF996" s="31"/>
      <c r="AG996" s="31"/>
    </row>
    <row r="997" spans="1:33" s="32" customFormat="1" ht="15" customHeight="1">
      <c r="A997" s="37">
        <v>43832</v>
      </c>
      <c r="B997" s="20" t="s">
        <v>474</v>
      </c>
      <c r="C997" s="20" t="s">
        <v>47</v>
      </c>
      <c r="D997" s="20">
        <v>290</v>
      </c>
      <c r="E997" s="38">
        <v>2300</v>
      </c>
      <c r="F997" s="20" t="s">
        <v>8</v>
      </c>
      <c r="G997" s="43">
        <v>13.5</v>
      </c>
      <c r="H997" s="43">
        <v>14.5</v>
      </c>
      <c r="I997" s="43">
        <v>0</v>
      </c>
      <c r="J997" s="43">
        <v>0</v>
      </c>
      <c r="K997" s="1">
        <f t="shared" ref="K997" si="2014">(IF(F997="SELL",G997-H997,IF(F997="BUY",H997-G997)))*E997</f>
        <v>2300</v>
      </c>
      <c r="L997" s="43">
        <v>0</v>
      </c>
      <c r="M997" s="43">
        <v>0</v>
      </c>
      <c r="N997" s="1">
        <f t="shared" si="2008"/>
        <v>1</v>
      </c>
      <c r="O997" s="1">
        <f t="shared" si="2009"/>
        <v>2300</v>
      </c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1"/>
      <c r="AD997" s="31"/>
      <c r="AE997" s="31"/>
      <c r="AF997" s="31"/>
      <c r="AG997" s="31"/>
    </row>
    <row r="998" spans="1:33" s="32" customFormat="1" ht="15" customHeight="1">
      <c r="A998" s="37">
        <v>43831</v>
      </c>
      <c r="B998" s="20" t="s">
        <v>122</v>
      </c>
      <c r="C998" s="20" t="s">
        <v>47</v>
      </c>
      <c r="D998" s="20">
        <v>2400</v>
      </c>
      <c r="E998" s="38">
        <v>500</v>
      </c>
      <c r="F998" s="20" t="s">
        <v>8</v>
      </c>
      <c r="G998" s="43">
        <v>75</v>
      </c>
      <c r="H998" s="43">
        <v>77</v>
      </c>
      <c r="I998" s="43">
        <v>0</v>
      </c>
      <c r="J998" s="43">
        <v>0</v>
      </c>
      <c r="K998" s="1">
        <f t="shared" ref="K998" si="2015">(IF(F998="SELL",G998-H998,IF(F998="BUY",H998-G998)))*E998</f>
        <v>1000</v>
      </c>
      <c r="L998" s="43">
        <v>0</v>
      </c>
      <c r="M998" s="43">
        <v>0</v>
      </c>
      <c r="N998" s="1">
        <f t="shared" si="2008"/>
        <v>2</v>
      </c>
      <c r="O998" s="1">
        <f t="shared" si="2009"/>
        <v>1000</v>
      </c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1"/>
      <c r="AD998" s="31"/>
      <c r="AE998" s="31"/>
      <c r="AF998" s="31"/>
      <c r="AG998" s="31"/>
    </row>
    <row r="999" spans="1:33" s="32" customFormat="1" ht="15" customHeight="1">
      <c r="A999" s="37">
        <v>43831</v>
      </c>
      <c r="B999" s="20" t="s">
        <v>473</v>
      </c>
      <c r="C999" s="20" t="s">
        <v>46</v>
      </c>
      <c r="D999" s="20">
        <v>250</v>
      </c>
      <c r="E999" s="38">
        <v>2400</v>
      </c>
      <c r="F999" s="20" t="s">
        <v>8</v>
      </c>
      <c r="G999" s="43">
        <v>12.8</v>
      </c>
      <c r="H999" s="43">
        <v>12.8</v>
      </c>
      <c r="I999" s="43">
        <v>0</v>
      </c>
      <c r="J999" s="43">
        <v>0</v>
      </c>
      <c r="K999" s="1">
        <f t="shared" ref="K999" si="2016">(IF(F999="SELL",G999-H999,IF(F999="BUY",H999-G999)))*E999</f>
        <v>0</v>
      </c>
      <c r="L999" s="43">
        <v>0</v>
      </c>
      <c r="M999" s="43">
        <v>0</v>
      </c>
      <c r="N999" s="1">
        <f t="shared" si="2008"/>
        <v>0</v>
      </c>
      <c r="O999" s="1">
        <f t="shared" si="2009"/>
        <v>0</v>
      </c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  <c r="AA999" s="31"/>
      <c r="AB999" s="31"/>
      <c r="AC999" s="31"/>
      <c r="AD999" s="31"/>
      <c r="AE999" s="31"/>
      <c r="AF999" s="31"/>
      <c r="AG999" s="31"/>
    </row>
    <row r="1000" spans="1:33" s="32" customFormat="1" ht="15" customHeight="1">
      <c r="A1000" s="37">
        <v>43830</v>
      </c>
      <c r="B1000" s="20" t="s">
        <v>22</v>
      </c>
      <c r="C1000" s="20" t="s">
        <v>47</v>
      </c>
      <c r="D1000" s="20">
        <v>240</v>
      </c>
      <c r="E1000" s="38">
        <v>3300</v>
      </c>
      <c r="F1000" s="20" t="s">
        <v>8</v>
      </c>
      <c r="G1000" s="43">
        <v>7.1</v>
      </c>
      <c r="H1000" s="43">
        <v>6.5</v>
      </c>
      <c r="I1000" s="43">
        <v>0</v>
      </c>
      <c r="J1000" s="43">
        <v>0</v>
      </c>
      <c r="K1000" s="1">
        <f t="shared" ref="K1000" si="2017">(IF(F1000="SELL",G1000-H1000,IF(F1000="BUY",H1000-G1000)))*E1000</f>
        <v>-1979.9999999999989</v>
      </c>
      <c r="L1000" s="43">
        <v>0</v>
      </c>
      <c r="M1000" s="43">
        <v>0</v>
      </c>
      <c r="N1000" s="1">
        <f t="shared" si="2008"/>
        <v>-0.59999999999999964</v>
      </c>
      <c r="O1000" s="1">
        <f t="shared" si="2009"/>
        <v>-1979.9999999999989</v>
      </c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  <c r="AA1000" s="31"/>
      <c r="AB1000" s="31"/>
      <c r="AC1000" s="31"/>
      <c r="AD1000" s="31"/>
      <c r="AE1000" s="31"/>
      <c r="AF1000" s="31"/>
      <c r="AG1000" s="31"/>
    </row>
    <row r="1001" spans="1:33" s="32" customFormat="1" ht="15" customHeight="1">
      <c r="A1001" s="37">
        <v>43830</v>
      </c>
      <c r="B1001" s="20" t="s">
        <v>391</v>
      </c>
      <c r="C1001" s="20" t="s">
        <v>47</v>
      </c>
      <c r="D1001" s="20">
        <v>430</v>
      </c>
      <c r="E1001" s="38">
        <v>1250</v>
      </c>
      <c r="F1001" s="20" t="s">
        <v>8</v>
      </c>
      <c r="G1001" s="43">
        <v>17.5</v>
      </c>
      <c r="H1001" s="43">
        <v>16.5</v>
      </c>
      <c r="I1001" s="43">
        <v>0</v>
      </c>
      <c r="J1001" s="43">
        <v>0</v>
      </c>
      <c r="K1001" s="1">
        <f t="shared" ref="K1001" si="2018">(IF(F1001="SELL",G1001-H1001,IF(F1001="BUY",H1001-G1001)))*E1001</f>
        <v>-1250</v>
      </c>
      <c r="L1001" s="43">
        <v>0</v>
      </c>
      <c r="M1001" s="43">
        <v>0</v>
      </c>
      <c r="N1001" s="1">
        <f t="shared" si="2008"/>
        <v>-1</v>
      </c>
      <c r="O1001" s="1">
        <f t="shared" si="2009"/>
        <v>-1250</v>
      </c>
      <c r="P1001" s="31"/>
      <c r="Q1001" s="31"/>
      <c r="R1001" s="31"/>
      <c r="S1001" s="31"/>
      <c r="T1001" s="31"/>
      <c r="U1001" s="31"/>
      <c r="V1001" s="31"/>
      <c r="W1001" s="31"/>
      <c r="X1001" s="31"/>
      <c r="Y1001" s="31"/>
      <c r="Z1001" s="31"/>
      <c r="AA1001" s="31"/>
      <c r="AB1001" s="31"/>
      <c r="AC1001" s="31"/>
      <c r="AD1001" s="31"/>
      <c r="AE1001" s="31"/>
      <c r="AF1001" s="31"/>
      <c r="AG1001" s="31"/>
    </row>
    <row r="1002" spans="1:33" s="32" customFormat="1" ht="15" customHeight="1">
      <c r="A1002" s="37">
        <v>43830</v>
      </c>
      <c r="B1002" s="20" t="s">
        <v>472</v>
      </c>
      <c r="C1002" s="20" t="s">
        <v>47</v>
      </c>
      <c r="D1002" s="20">
        <v>1700</v>
      </c>
      <c r="E1002" s="38">
        <v>500</v>
      </c>
      <c r="F1002" s="20" t="s">
        <v>8</v>
      </c>
      <c r="G1002" s="43">
        <v>40</v>
      </c>
      <c r="H1002" s="43">
        <v>44</v>
      </c>
      <c r="I1002" s="43">
        <v>0</v>
      </c>
      <c r="J1002" s="43">
        <v>0</v>
      </c>
      <c r="K1002" s="1">
        <f t="shared" ref="K1002" si="2019">(IF(F1002="SELL",G1002-H1002,IF(F1002="BUY",H1002-G1002)))*E1002</f>
        <v>2000</v>
      </c>
      <c r="L1002" s="43">
        <v>0</v>
      </c>
      <c r="M1002" s="43">
        <v>0</v>
      </c>
      <c r="N1002" s="1">
        <f t="shared" si="2008"/>
        <v>4</v>
      </c>
      <c r="O1002" s="1">
        <f t="shared" si="2009"/>
        <v>2000</v>
      </c>
      <c r="P1002" s="31"/>
      <c r="Q1002" s="31"/>
      <c r="R1002" s="31"/>
      <c r="S1002" s="31"/>
      <c r="T1002" s="31"/>
      <c r="U1002" s="31"/>
      <c r="V1002" s="31"/>
      <c r="W1002" s="31"/>
      <c r="X1002" s="31"/>
      <c r="Y1002" s="31"/>
      <c r="Z1002" s="31"/>
      <c r="AA1002" s="31"/>
      <c r="AB1002" s="31"/>
      <c r="AC1002" s="31"/>
      <c r="AD1002" s="31"/>
      <c r="AE1002" s="31"/>
      <c r="AF1002" s="31"/>
      <c r="AG1002" s="31"/>
    </row>
    <row r="1003" spans="1:33" s="32" customFormat="1" ht="15" customHeight="1">
      <c r="A1003" s="37">
        <v>43829</v>
      </c>
      <c r="B1003" s="20" t="s">
        <v>270</v>
      </c>
      <c r="C1003" s="20" t="s">
        <v>47</v>
      </c>
      <c r="D1003" s="20">
        <v>170</v>
      </c>
      <c r="E1003" s="38">
        <v>5000</v>
      </c>
      <c r="F1003" s="20" t="s">
        <v>8</v>
      </c>
      <c r="G1003" s="43">
        <v>6</v>
      </c>
      <c r="H1003" s="43">
        <v>6.5</v>
      </c>
      <c r="I1003" s="43">
        <v>7</v>
      </c>
      <c r="J1003" s="43">
        <v>7.7</v>
      </c>
      <c r="K1003" s="1">
        <f t="shared" ref="K1003" si="2020">(IF(F1003="SELL",G1003-H1003,IF(F1003="BUY",H1003-G1003)))*E1003</f>
        <v>2500</v>
      </c>
      <c r="L1003" s="43">
        <f>E1003*0.5</f>
        <v>2500</v>
      </c>
      <c r="M1003" s="43">
        <f>E1003*0.7</f>
        <v>3500</v>
      </c>
      <c r="N1003" s="1">
        <f t="shared" si="2008"/>
        <v>1.7</v>
      </c>
      <c r="O1003" s="1">
        <f t="shared" si="2009"/>
        <v>8500</v>
      </c>
      <c r="P1003" s="31"/>
      <c r="Q1003" s="31"/>
      <c r="R1003" s="31"/>
      <c r="S1003" s="31"/>
      <c r="T1003" s="31"/>
      <c r="U1003" s="31"/>
      <c r="V1003" s="31"/>
      <c r="W1003" s="31"/>
      <c r="X1003" s="31"/>
      <c r="Y1003" s="31"/>
      <c r="Z1003" s="31"/>
      <c r="AA1003" s="31"/>
      <c r="AB1003" s="31"/>
      <c r="AC1003" s="31"/>
      <c r="AD1003" s="31"/>
      <c r="AE1003" s="31"/>
      <c r="AF1003" s="31"/>
      <c r="AG1003" s="31"/>
    </row>
    <row r="1004" spans="1:33" s="32" customFormat="1" ht="15" customHeight="1">
      <c r="A1004" s="37">
        <v>43826</v>
      </c>
      <c r="B1004" s="20" t="s">
        <v>17</v>
      </c>
      <c r="C1004" s="20" t="s">
        <v>47</v>
      </c>
      <c r="D1004" s="20">
        <v>760</v>
      </c>
      <c r="E1004" s="38">
        <v>1200</v>
      </c>
      <c r="F1004" s="20" t="s">
        <v>8</v>
      </c>
      <c r="G1004" s="43">
        <v>16</v>
      </c>
      <c r="H1004" s="43">
        <v>18.5</v>
      </c>
      <c r="I1004" s="43">
        <v>21</v>
      </c>
      <c r="J1004" s="43">
        <v>25</v>
      </c>
      <c r="K1004" s="1">
        <f t="shared" ref="K1004" si="2021">(IF(F1004="SELL",G1004-H1004,IF(F1004="BUY",H1004-G1004)))*E1004</f>
        <v>3000</v>
      </c>
      <c r="L1004" s="43">
        <f>E1004*2.5</f>
        <v>3000</v>
      </c>
      <c r="M1004" s="43">
        <f>E1004*4</f>
        <v>4800</v>
      </c>
      <c r="N1004" s="1">
        <f t="shared" si="2008"/>
        <v>9</v>
      </c>
      <c r="O1004" s="1">
        <f t="shared" si="2009"/>
        <v>10800</v>
      </c>
      <c r="P1004" s="31"/>
      <c r="Q1004" s="31"/>
      <c r="R1004" s="31"/>
      <c r="S1004" s="31"/>
      <c r="T1004" s="31"/>
      <c r="U1004" s="31"/>
      <c r="V1004" s="31"/>
      <c r="W1004" s="31"/>
      <c r="X1004" s="31"/>
      <c r="Y1004" s="31"/>
      <c r="Z1004" s="31"/>
      <c r="AA1004" s="31"/>
      <c r="AB1004" s="31"/>
      <c r="AC1004" s="31"/>
      <c r="AD1004" s="31"/>
      <c r="AE1004" s="31"/>
      <c r="AF1004" s="31"/>
      <c r="AG1004" s="31"/>
    </row>
    <row r="1005" spans="1:33" s="32" customFormat="1" ht="15" customHeight="1">
      <c r="A1005" s="37">
        <v>43826</v>
      </c>
      <c r="B1005" s="20" t="s">
        <v>122</v>
      </c>
      <c r="C1005" s="20" t="s">
        <v>47</v>
      </c>
      <c r="D1005" s="20">
        <v>2420</v>
      </c>
      <c r="E1005" s="38">
        <v>250</v>
      </c>
      <c r="F1005" s="20" t="s">
        <v>8</v>
      </c>
      <c r="G1005" s="43">
        <v>65</v>
      </c>
      <c r="H1005" s="43">
        <v>72</v>
      </c>
      <c r="I1005" s="43">
        <v>78</v>
      </c>
      <c r="J1005" s="43">
        <v>0</v>
      </c>
      <c r="K1005" s="1">
        <f t="shared" ref="K1005" si="2022">(IF(F1005="SELL",G1005-H1005,IF(F1005="BUY",H1005-G1005)))*E1005</f>
        <v>1750</v>
      </c>
      <c r="L1005" s="43">
        <f>E1005*6</f>
        <v>1500</v>
      </c>
      <c r="M1005" s="43">
        <v>0</v>
      </c>
      <c r="N1005" s="1">
        <f t="shared" si="2008"/>
        <v>13</v>
      </c>
      <c r="O1005" s="1">
        <f t="shared" si="2009"/>
        <v>3250</v>
      </c>
      <c r="P1005" s="31"/>
      <c r="Q1005" s="31"/>
      <c r="R1005" s="31"/>
      <c r="S1005" s="31"/>
      <c r="T1005" s="31"/>
      <c r="U1005" s="31"/>
      <c r="V1005" s="31"/>
      <c r="W1005" s="31"/>
      <c r="X1005" s="31"/>
      <c r="Y1005" s="31"/>
      <c r="Z1005" s="31"/>
      <c r="AA1005" s="31"/>
      <c r="AB1005" s="31"/>
      <c r="AC1005" s="31"/>
      <c r="AD1005" s="31"/>
      <c r="AE1005" s="31"/>
      <c r="AF1005" s="31"/>
      <c r="AG1005" s="31"/>
    </row>
    <row r="1006" spans="1:33" s="32" customFormat="1" ht="15" customHeight="1">
      <c r="A1006" s="37">
        <v>43825</v>
      </c>
      <c r="B1006" s="20" t="s">
        <v>404</v>
      </c>
      <c r="C1006" s="20" t="s">
        <v>47</v>
      </c>
      <c r="D1006" s="20">
        <v>135</v>
      </c>
      <c r="E1006" s="38">
        <v>6000</v>
      </c>
      <c r="F1006" s="20" t="s">
        <v>8</v>
      </c>
      <c r="G1006" s="43">
        <v>6.2</v>
      </c>
      <c r="H1006" s="43">
        <v>6.7</v>
      </c>
      <c r="I1006" s="43">
        <v>0</v>
      </c>
      <c r="J1006" s="43">
        <v>0</v>
      </c>
      <c r="K1006" s="1">
        <f t="shared" ref="K1006" si="2023">(IF(F1006="SELL",G1006-H1006,IF(F1006="BUY",H1006-G1006)))*E1006</f>
        <v>3000</v>
      </c>
      <c r="L1006" s="43">
        <v>0</v>
      </c>
      <c r="M1006" s="43">
        <v>0</v>
      </c>
      <c r="N1006" s="1">
        <f t="shared" si="2008"/>
        <v>0.5</v>
      </c>
      <c r="O1006" s="1">
        <f t="shared" si="2009"/>
        <v>3000</v>
      </c>
      <c r="P1006" s="31"/>
      <c r="Q1006" s="31"/>
      <c r="R1006" s="31"/>
      <c r="S1006" s="31"/>
      <c r="T1006" s="31"/>
      <c r="U1006" s="31"/>
      <c r="V1006" s="31"/>
      <c r="W1006" s="31"/>
      <c r="X1006" s="31"/>
      <c r="Y1006" s="31"/>
      <c r="Z1006" s="31"/>
      <c r="AA1006" s="31"/>
      <c r="AB1006" s="31"/>
      <c r="AC1006" s="31"/>
      <c r="AD1006" s="31"/>
      <c r="AE1006" s="31"/>
      <c r="AF1006" s="31"/>
      <c r="AG1006" s="31"/>
    </row>
    <row r="1007" spans="1:33" s="32" customFormat="1" ht="15" customHeight="1">
      <c r="A1007" s="37">
        <v>43825</v>
      </c>
      <c r="B1007" s="20" t="s">
        <v>400</v>
      </c>
      <c r="C1007" s="20" t="s">
        <v>47</v>
      </c>
      <c r="D1007" s="20">
        <v>480</v>
      </c>
      <c r="E1007" s="38">
        <v>1061</v>
      </c>
      <c r="F1007" s="20" t="s">
        <v>8</v>
      </c>
      <c r="G1007" s="43">
        <v>13.8</v>
      </c>
      <c r="H1007" s="43">
        <v>15.5</v>
      </c>
      <c r="I1007" s="43">
        <v>0</v>
      </c>
      <c r="J1007" s="43">
        <v>0</v>
      </c>
      <c r="K1007" s="1">
        <f t="shared" ref="K1007" si="2024">(IF(F1007="SELL",G1007-H1007,IF(F1007="BUY",H1007-G1007)))*E1007</f>
        <v>1803.6999999999991</v>
      </c>
      <c r="L1007" s="43">
        <v>0</v>
      </c>
      <c r="M1007" s="43">
        <v>0</v>
      </c>
      <c r="N1007" s="1">
        <f t="shared" si="2008"/>
        <v>1.6999999999999993</v>
      </c>
      <c r="O1007" s="1">
        <f t="shared" si="2009"/>
        <v>1803.6999999999991</v>
      </c>
      <c r="P1007" s="31"/>
      <c r="Q1007" s="31"/>
      <c r="R1007" s="31"/>
      <c r="S1007" s="31"/>
      <c r="T1007" s="31"/>
      <c r="U1007" s="31"/>
      <c r="V1007" s="31"/>
      <c r="W1007" s="31"/>
      <c r="X1007" s="31"/>
      <c r="Y1007" s="31"/>
      <c r="Z1007" s="31"/>
      <c r="AA1007" s="31"/>
      <c r="AB1007" s="31"/>
      <c r="AC1007" s="31"/>
      <c r="AD1007" s="31"/>
      <c r="AE1007" s="31"/>
      <c r="AF1007" s="31"/>
      <c r="AG1007" s="31"/>
    </row>
    <row r="1008" spans="1:33" s="32" customFormat="1" ht="15" customHeight="1">
      <c r="A1008" s="37">
        <v>43823</v>
      </c>
      <c r="B1008" s="20" t="s">
        <v>270</v>
      </c>
      <c r="C1008" s="20" t="s">
        <v>47</v>
      </c>
      <c r="D1008" s="20">
        <v>160</v>
      </c>
      <c r="E1008" s="38">
        <v>3200</v>
      </c>
      <c r="F1008" s="20" t="s">
        <v>8</v>
      </c>
      <c r="G1008" s="43">
        <v>1.9</v>
      </c>
      <c r="H1008" s="43">
        <v>2.6</v>
      </c>
      <c r="I1008" s="43">
        <v>3.2</v>
      </c>
      <c r="J1008" s="43">
        <v>0</v>
      </c>
      <c r="K1008" s="1">
        <f t="shared" ref="K1008" si="2025">(IF(F1008="SELL",G1008-H1008,IF(F1008="BUY",H1008-G1008)))*E1008</f>
        <v>2240.0000000000005</v>
      </c>
      <c r="L1008" s="43">
        <f>E1008*0.6</f>
        <v>1920</v>
      </c>
      <c r="M1008" s="43">
        <v>0</v>
      </c>
      <c r="N1008" s="1">
        <f t="shared" si="2008"/>
        <v>1.3</v>
      </c>
      <c r="O1008" s="1">
        <f t="shared" si="2009"/>
        <v>4160</v>
      </c>
      <c r="P1008" s="31"/>
      <c r="Q1008" s="31"/>
      <c r="R1008" s="31"/>
      <c r="S1008" s="31"/>
      <c r="T1008" s="31"/>
      <c r="U1008" s="31"/>
      <c r="V1008" s="31"/>
      <c r="W1008" s="31"/>
      <c r="X1008" s="31"/>
      <c r="Y1008" s="31"/>
      <c r="Z1008" s="31"/>
      <c r="AA1008" s="31"/>
      <c r="AB1008" s="31"/>
      <c r="AC1008" s="31"/>
      <c r="AD1008" s="31"/>
      <c r="AE1008" s="31"/>
      <c r="AF1008" s="31"/>
      <c r="AG1008" s="31"/>
    </row>
    <row r="1009" spans="1:33" s="32" customFormat="1" ht="15" customHeight="1">
      <c r="A1009" s="37">
        <v>43823</v>
      </c>
      <c r="B1009" s="20" t="s">
        <v>128</v>
      </c>
      <c r="C1009" s="20" t="s">
        <v>47</v>
      </c>
      <c r="D1009" s="20">
        <v>1700</v>
      </c>
      <c r="E1009" s="38">
        <v>400</v>
      </c>
      <c r="F1009" s="20" t="s">
        <v>8</v>
      </c>
      <c r="G1009" s="43">
        <v>16</v>
      </c>
      <c r="H1009" s="43">
        <v>20</v>
      </c>
      <c r="I1009" s="43">
        <v>0</v>
      </c>
      <c r="J1009" s="43">
        <v>0</v>
      </c>
      <c r="K1009" s="1">
        <f t="shared" ref="K1009" si="2026">(IF(F1009="SELL",G1009-H1009,IF(F1009="BUY",H1009-G1009)))*E1009</f>
        <v>1600</v>
      </c>
      <c r="L1009" s="43">
        <v>0</v>
      </c>
      <c r="M1009" s="43">
        <v>0</v>
      </c>
      <c r="N1009" s="1">
        <f t="shared" si="2008"/>
        <v>4</v>
      </c>
      <c r="O1009" s="1">
        <f t="shared" si="2009"/>
        <v>1600</v>
      </c>
      <c r="P1009" s="31"/>
      <c r="Q1009" s="31"/>
      <c r="R1009" s="31"/>
      <c r="S1009" s="31"/>
      <c r="T1009" s="31"/>
      <c r="U1009" s="31"/>
      <c r="V1009" s="31"/>
      <c r="W1009" s="31"/>
      <c r="X1009" s="31"/>
      <c r="Y1009" s="31"/>
      <c r="Z1009" s="31"/>
      <c r="AA1009" s="31"/>
      <c r="AB1009" s="31"/>
      <c r="AC1009" s="31"/>
      <c r="AD1009" s="31"/>
      <c r="AE1009" s="31"/>
      <c r="AF1009" s="31"/>
      <c r="AG1009" s="31"/>
    </row>
    <row r="1010" spans="1:33" s="32" customFormat="1" ht="15" customHeight="1">
      <c r="A1010" s="37">
        <v>43822</v>
      </c>
      <c r="B1010" s="20" t="s">
        <v>175</v>
      </c>
      <c r="C1010" s="20" t="s">
        <v>47</v>
      </c>
      <c r="D1010" s="20">
        <v>4100</v>
      </c>
      <c r="E1010" s="38">
        <v>250</v>
      </c>
      <c r="F1010" s="20" t="s">
        <v>8</v>
      </c>
      <c r="G1010" s="43">
        <v>80</v>
      </c>
      <c r="H1010" s="43">
        <v>90</v>
      </c>
      <c r="I1010" s="43">
        <v>0</v>
      </c>
      <c r="J1010" s="43">
        <v>0</v>
      </c>
      <c r="K1010" s="1">
        <f t="shared" ref="K1010" si="2027">(IF(F1010="SELL",G1010-H1010,IF(F1010="BUY",H1010-G1010)))*E1010</f>
        <v>2500</v>
      </c>
      <c r="L1010" s="43">
        <v>0</v>
      </c>
      <c r="M1010" s="43">
        <v>0</v>
      </c>
      <c r="N1010" s="1">
        <f t="shared" si="2008"/>
        <v>10</v>
      </c>
      <c r="O1010" s="1">
        <f t="shared" si="2009"/>
        <v>2500</v>
      </c>
      <c r="P1010" s="31"/>
      <c r="Q1010" s="31"/>
      <c r="R1010" s="31"/>
      <c r="S1010" s="31"/>
      <c r="T1010" s="31"/>
      <c r="U1010" s="31"/>
      <c r="V1010" s="31"/>
      <c r="W1010" s="31"/>
      <c r="X1010" s="31"/>
      <c r="Y1010" s="31"/>
      <c r="Z1010" s="31"/>
      <c r="AA1010" s="31"/>
      <c r="AB1010" s="31"/>
      <c r="AC1010" s="31"/>
      <c r="AD1010" s="31"/>
      <c r="AE1010" s="31"/>
      <c r="AF1010" s="31"/>
      <c r="AG1010" s="31"/>
    </row>
    <row r="1011" spans="1:33" s="32" customFormat="1" ht="15" customHeight="1">
      <c r="A1011" s="37">
        <v>43822</v>
      </c>
      <c r="B1011" s="20" t="s">
        <v>38</v>
      </c>
      <c r="C1011" s="20" t="s">
        <v>47</v>
      </c>
      <c r="D1011" s="20">
        <v>7300</v>
      </c>
      <c r="E1011" s="38">
        <v>75</v>
      </c>
      <c r="F1011" s="20" t="s">
        <v>8</v>
      </c>
      <c r="G1011" s="43">
        <v>90</v>
      </c>
      <c r="H1011" s="43">
        <v>110</v>
      </c>
      <c r="I1011" s="43">
        <v>0</v>
      </c>
      <c r="J1011" s="43">
        <v>0</v>
      </c>
      <c r="K1011" s="1">
        <f t="shared" ref="K1011" si="2028">(IF(F1011="SELL",G1011-H1011,IF(F1011="BUY",H1011-G1011)))*E1011</f>
        <v>1500</v>
      </c>
      <c r="L1011" s="43">
        <v>0</v>
      </c>
      <c r="M1011" s="43">
        <v>0</v>
      </c>
      <c r="N1011" s="1">
        <f t="shared" si="2008"/>
        <v>20</v>
      </c>
      <c r="O1011" s="1">
        <f t="shared" si="2009"/>
        <v>1500</v>
      </c>
      <c r="P1011" s="31"/>
      <c r="Q1011" s="31"/>
      <c r="R1011" s="31"/>
      <c r="S1011" s="31"/>
      <c r="T1011" s="31"/>
      <c r="U1011" s="31"/>
      <c r="V1011" s="31"/>
      <c r="W1011" s="31"/>
      <c r="X1011" s="31"/>
      <c r="Y1011" s="31"/>
      <c r="Z1011" s="31"/>
      <c r="AA1011" s="31"/>
      <c r="AB1011" s="31"/>
      <c r="AC1011" s="31"/>
      <c r="AD1011" s="31"/>
      <c r="AE1011" s="31"/>
      <c r="AF1011" s="31"/>
      <c r="AG1011" s="31"/>
    </row>
    <row r="1012" spans="1:33" s="32" customFormat="1" ht="15" customHeight="1">
      <c r="A1012" s="37">
        <v>43819</v>
      </c>
      <c r="B1012" s="20" t="s">
        <v>415</v>
      </c>
      <c r="C1012" s="20" t="s">
        <v>47</v>
      </c>
      <c r="D1012" s="20">
        <v>2350</v>
      </c>
      <c r="E1012" s="38">
        <v>150</v>
      </c>
      <c r="F1012" s="20" t="s">
        <v>8</v>
      </c>
      <c r="G1012" s="43">
        <v>82</v>
      </c>
      <c r="H1012" s="43">
        <v>68</v>
      </c>
      <c r="I1012" s="43">
        <v>0</v>
      </c>
      <c r="J1012" s="43">
        <v>0</v>
      </c>
      <c r="K1012" s="1">
        <f t="shared" ref="K1012" si="2029">(IF(F1012="SELL",G1012-H1012,IF(F1012="BUY",H1012-G1012)))*E1012</f>
        <v>-2100</v>
      </c>
      <c r="L1012" s="43">
        <v>0</v>
      </c>
      <c r="M1012" s="43">
        <v>0</v>
      </c>
      <c r="N1012" s="1">
        <f t="shared" si="2008"/>
        <v>-14</v>
      </c>
      <c r="O1012" s="1">
        <f t="shared" si="2009"/>
        <v>-2100</v>
      </c>
      <c r="P1012" s="31"/>
      <c r="Q1012" s="31"/>
      <c r="R1012" s="31"/>
      <c r="S1012" s="31"/>
      <c r="T1012" s="31"/>
      <c r="U1012" s="31"/>
      <c r="V1012" s="31"/>
      <c r="W1012" s="31"/>
      <c r="X1012" s="31"/>
      <c r="Y1012" s="31"/>
      <c r="Z1012" s="31"/>
      <c r="AA1012" s="31"/>
      <c r="AB1012" s="31"/>
      <c r="AC1012" s="31"/>
      <c r="AD1012" s="31"/>
      <c r="AE1012" s="31"/>
      <c r="AF1012" s="31"/>
      <c r="AG1012" s="31"/>
    </row>
    <row r="1013" spans="1:33" s="32" customFormat="1" ht="15" customHeight="1">
      <c r="A1013" s="37">
        <v>43819</v>
      </c>
      <c r="B1013" s="20" t="s">
        <v>386</v>
      </c>
      <c r="C1013" s="20" t="s">
        <v>47</v>
      </c>
      <c r="D1013" s="20">
        <v>1200</v>
      </c>
      <c r="E1013" s="38">
        <v>750</v>
      </c>
      <c r="F1013" s="20" t="s">
        <v>8</v>
      </c>
      <c r="G1013" s="43">
        <v>9</v>
      </c>
      <c r="H1013" s="43">
        <v>12</v>
      </c>
      <c r="I1013" s="43">
        <v>16</v>
      </c>
      <c r="J1013" s="43">
        <v>18</v>
      </c>
      <c r="K1013" s="1">
        <f t="shared" ref="K1013" si="2030">(IF(F1013="SELL",G1013-H1013,IF(F1013="BUY",H1013-G1013)))*E1013</f>
        <v>2250</v>
      </c>
      <c r="L1013" s="43">
        <f>E1013*4</f>
        <v>3000</v>
      </c>
      <c r="M1013" s="43">
        <f>E1013*2</f>
        <v>1500</v>
      </c>
      <c r="N1013" s="1">
        <f t="shared" si="2008"/>
        <v>9</v>
      </c>
      <c r="O1013" s="1">
        <f t="shared" si="2009"/>
        <v>6750</v>
      </c>
      <c r="P1013" s="31"/>
      <c r="Q1013" s="31"/>
      <c r="R1013" s="31"/>
      <c r="S1013" s="31"/>
      <c r="T1013" s="31"/>
      <c r="U1013" s="31"/>
      <c r="V1013" s="31"/>
      <c r="W1013" s="31"/>
      <c r="X1013" s="31"/>
      <c r="Y1013" s="31"/>
      <c r="Z1013" s="31"/>
      <c r="AA1013" s="31"/>
      <c r="AB1013" s="31"/>
      <c r="AC1013" s="31"/>
      <c r="AD1013" s="31"/>
      <c r="AE1013" s="31"/>
      <c r="AF1013" s="31"/>
      <c r="AG1013" s="31"/>
    </row>
    <row r="1014" spans="1:33" s="32" customFormat="1" ht="15" customHeight="1">
      <c r="A1014" s="37">
        <v>43818</v>
      </c>
      <c r="B1014" s="20" t="s">
        <v>38</v>
      </c>
      <c r="C1014" s="20" t="s">
        <v>47</v>
      </c>
      <c r="D1014" s="20">
        <v>7300</v>
      </c>
      <c r="E1014" s="38">
        <v>75</v>
      </c>
      <c r="F1014" s="20" t="s">
        <v>8</v>
      </c>
      <c r="G1014" s="43">
        <v>100</v>
      </c>
      <c r="H1014" s="43">
        <v>120</v>
      </c>
      <c r="I1014" s="43">
        <v>0</v>
      </c>
      <c r="J1014" s="43">
        <v>0</v>
      </c>
      <c r="K1014" s="1">
        <f t="shared" ref="K1014" si="2031">(IF(F1014="SELL",G1014-H1014,IF(F1014="BUY",H1014-G1014)))*E1014</f>
        <v>1500</v>
      </c>
      <c r="L1014" s="43">
        <v>0</v>
      </c>
      <c r="M1014" s="43">
        <v>0</v>
      </c>
      <c r="N1014" s="1">
        <f t="shared" si="2008"/>
        <v>20</v>
      </c>
      <c r="O1014" s="1">
        <f t="shared" si="2009"/>
        <v>1500</v>
      </c>
      <c r="P1014" s="31"/>
      <c r="Q1014" s="31"/>
      <c r="R1014" s="31"/>
      <c r="S1014" s="31"/>
      <c r="T1014" s="31"/>
      <c r="U1014" s="31"/>
      <c r="V1014" s="31"/>
      <c r="W1014" s="31"/>
      <c r="X1014" s="31"/>
      <c r="Y1014" s="31"/>
      <c r="Z1014" s="31"/>
      <c r="AA1014" s="31"/>
      <c r="AB1014" s="31"/>
      <c r="AC1014" s="31"/>
      <c r="AD1014" s="31"/>
      <c r="AE1014" s="31"/>
      <c r="AF1014" s="31"/>
      <c r="AG1014" s="31"/>
    </row>
    <row r="1015" spans="1:33" s="32" customFormat="1" ht="15" customHeight="1">
      <c r="A1015" s="37">
        <v>43818</v>
      </c>
      <c r="B1015" s="20" t="s">
        <v>402</v>
      </c>
      <c r="C1015" s="20" t="s">
        <v>47</v>
      </c>
      <c r="D1015" s="20">
        <v>1580</v>
      </c>
      <c r="E1015" s="38">
        <v>500</v>
      </c>
      <c r="F1015" s="20" t="s">
        <v>8</v>
      </c>
      <c r="G1015" s="43">
        <v>24</v>
      </c>
      <c r="H1015" s="43">
        <v>27</v>
      </c>
      <c r="I1015" s="43">
        <v>30</v>
      </c>
      <c r="J1015" s="43">
        <v>33</v>
      </c>
      <c r="K1015" s="1">
        <f t="shared" ref="K1015" si="2032">(IF(F1015="SELL",G1015-H1015,IF(F1015="BUY",H1015-G1015)))*E1015</f>
        <v>1500</v>
      </c>
      <c r="L1015" s="43">
        <f>E1015*3</f>
        <v>1500</v>
      </c>
      <c r="M1015" s="43">
        <f>E1015*3</f>
        <v>1500</v>
      </c>
      <c r="N1015" s="1">
        <f t="shared" si="2008"/>
        <v>9</v>
      </c>
      <c r="O1015" s="1">
        <f t="shared" si="2009"/>
        <v>4500</v>
      </c>
      <c r="P1015" s="31"/>
      <c r="Q1015" s="31"/>
      <c r="R1015" s="31"/>
      <c r="S1015" s="31"/>
      <c r="T1015" s="31"/>
      <c r="U1015" s="31"/>
      <c r="V1015" s="31"/>
      <c r="W1015" s="31"/>
      <c r="X1015" s="31"/>
      <c r="Y1015" s="31"/>
      <c r="Z1015" s="31"/>
      <c r="AA1015" s="31"/>
      <c r="AB1015" s="31"/>
      <c r="AC1015" s="31"/>
      <c r="AD1015" s="31"/>
      <c r="AE1015" s="31"/>
      <c r="AF1015" s="31"/>
      <c r="AG1015" s="31"/>
    </row>
    <row r="1016" spans="1:33" s="32" customFormat="1" ht="15" customHeight="1">
      <c r="A1016" s="37">
        <v>43818</v>
      </c>
      <c r="B1016" s="20" t="s">
        <v>401</v>
      </c>
      <c r="C1016" s="20" t="s">
        <v>47</v>
      </c>
      <c r="D1016" s="20">
        <v>56</v>
      </c>
      <c r="E1016" s="38">
        <v>6000</v>
      </c>
      <c r="F1016" s="20" t="s">
        <v>8</v>
      </c>
      <c r="G1016" s="43">
        <v>1.4</v>
      </c>
      <c r="H1016" s="43">
        <v>1.2</v>
      </c>
      <c r="I1016" s="43">
        <v>0</v>
      </c>
      <c r="J1016" s="43">
        <v>0</v>
      </c>
      <c r="K1016" s="1">
        <f t="shared" ref="K1016" si="2033">(IF(F1016="SELL",G1016-H1016,IF(F1016="BUY",H1016-G1016)))*E1016</f>
        <v>-1199.9999999999998</v>
      </c>
      <c r="L1016" s="43">
        <v>0</v>
      </c>
      <c r="M1016" s="43">
        <v>0</v>
      </c>
      <c r="N1016" s="1">
        <f t="shared" si="2008"/>
        <v>-0.19999999999999996</v>
      </c>
      <c r="O1016" s="1">
        <f t="shared" si="2009"/>
        <v>-1199.9999999999998</v>
      </c>
      <c r="P1016" s="31"/>
      <c r="Q1016" s="31"/>
      <c r="R1016" s="31"/>
      <c r="S1016" s="31"/>
      <c r="T1016" s="31"/>
      <c r="U1016" s="31"/>
      <c r="V1016" s="31"/>
      <c r="W1016" s="31"/>
      <c r="X1016" s="31"/>
      <c r="Y1016" s="31"/>
      <c r="Z1016" s="31"/>
      <c r="AA1016" s="31"/>
      <c r="AB1016" s="31"/>
      <c r="AC1016" s="31"/>
      <c r="AD1016" s="31"/>
      <c r="AE1016" s="31"/>
      <c r="AF1016" s="31"/>
      <c r="AG1016" s="31"/>
    </row>
    <row r="1017" spans="1:33" s="32" customFormat="1" ht="15" customHeight="1">
      <c r="A1017" s="37">
        <v>43817</v>
      </c>
      <c r="B1017" s="20" t="s">
        <v>20</v>
      </c>
      <c r="C1017" s="20" t="s">
        <v>47</v>
      </c>
      <c r="D1017" s="20">
        <v>740</v>
      </c>
      <c r="E1017" s="38">
        <v>1200</v>
      </c>
      <c r="F1017" s="20" t="s">
        <v>8</v>
      </c>
      <c r="G1017" s="43">
        <v>9.3000000000000007</v>
      </c>
      <c r="H1017" s="43">
        <v>7</v>
      </c>
      <c r="I1017" s="43">
        <v>0</v>
      </c>
      <c r="J1017" s="43">
        <v>0</v>
      </c>
      <c r="K1017" s="1">
        <f t="shared" ref="K1017" si="2034">(IF(F1017="SELL",G1017-H1017,IF(F1017="BUY",H1017-G1017)))*E1017</f>
        <v>-2760.0000000000009</v>
      </c>
      <c r="L1017" s="43">
        <v>0</v>
      </c>
      <c r="M1017" s="43">
        <v>0</v>
      </c>
      <c r="N1017" s="1">
        <f t="shared" si="2008"/>
        <v>-2.3000000000000007</v>
      </c>
      <c r="O1017" s="1">
        <f t="shared" si="2009"/>
        <v>-2760.0000000000009</v>
      </c>
      <c r="P1017" s="31"/>
      <c r="Q1017" s="31"/>
      <c r="R1017" s="31"/>
      <c r="S1017" s="31"/>
      <c r="T1017" s="31"/>
      <c r="U1017" s="31"/>
      <c r="V1017" s="31"/>
      <c r="W1017" s="31"/>
      <c r="X1017" s="31"/>
      <c r="Y1017" s="31"/>
      <c r="Z1017" s="31"/>
      <c r="AA1017" s="31"/>
      <c r="AB1017" s="31"/>
      <c r="AC1017" s="31"/>
      <c r="AD1017" s="31"/>
      <c r="AE1017" s="31"/>
      <c r="AF1017" s="31"/>
      <c r="AG1017" s="31"/>
    </row>
    <row r="1018" spans="1:33" s="32" customFormat="1" ht="15" customHeight="1">
      <c r="A1018" s="37">
        <v>43817</v>
      </c>
      <c r="B1018" s="20" t="s">
        <v>54</v>
      </c>
      <c r="C1018" s="20" t="s">
        <v>425</v>
      </c>
      <c r="D1018" s="20">
        <v>440</v>
      </c>
      <c r="E1018" s="38">
        <v>1000</v>
      </c>
      <c r="F1018" s="20" t="s">
        <v>8</v>
      </c>
      <c r="G1018" s="43">
        <v>6.5</v>
      </c>
      <c r="H1018" s="43">
        <v>8.5</v>
      </c>
      <c r="I1018" s="43">
        <v>10.5</v>
      </c>
      <c r="J1018" s="43">
        <v>0</v>
      </c>
      <c r="K1018" s="1">
        <f t="shared" ref="K1018" si="2035">(IF(F1018="SELL",G1018-H1018,IF(F1018="BUY",H1018-G1018)))*E1018</f>
        <v>2000</v>
      </c>
      <c r="L1018" s="43">
        <f>E1018*2</f>
        <v>2000</v>
      </c>
      <c r="M1018" s="43">
        <v>0</v>
      </c>
      <c r="N1018" s="1">
        <f t="shared" si="2008"/>
        <v>4</v>
      </c>
      <c r="O1018" s="1">
        <f t="shared" si="2009"/>
        <v>4000</v>
      </c>
      <c r="P1018" s="31"/>
      <c r="Q1018" s="31"/>
      <c r="R1018" s="31"/>
      <c r="S1018" s="31"/>
      <c r="T1018" s="31"/>
      <c r="U1018" s="31"/>
      <c r="V1018" s="31"/>
      <c r="W1018" s="31"/>
      <c r="X1018" s="31"/>
      <c r="Y1018" s="31"/>
      <c r="Z1018" s="31"/>
      <c r="AA1018" s="31"/>
      <c r="AB1018" s="31"/>
      <c r="AC1018" s="31"/>
      <c r="AD1018" s="31"/>
      <c r="AE1018" s="31"/>
      <c r="AF1018" s="31"/>
      <c r="AG1018" s="31"/>
    </row>
    <row r="1019" spans="1:33" s="32" customFormat="1" ht="15" customHeight="1">
      <c r="A1019" s="37">
        <v>43817</v>
      </c>
      <c r="B1019" s="20" t="s">
        <v>289</v>
      </c>
      <c r="C1019" s="20" t="s">
        <v>47</v>
      </c>
      <c r="D1019" s="20">
        <v>490</v>
      </c>
      <c r="E1019" s="38">
        <v>1200</v>
      </c>
      <c r="F1019" s="20" t="s">
        <v>8</v>
      </c>
      <c r="G1019" s="43">
        <v>10</v>
      </c>
      <c r="H1019" s="43">
        <v>11.5</v>
      </c>
      <c r="I1019" s="43">
        <v>13</v>
      </c>
      <c r="J1019" s="43">
        <v>15</v>
      </c>
      <c r="K1019" s="1">
        <f t="shared" ref="K1019" si="2036">(IF(F1019="SELL",G1019-H1019,IF(F1019="BUY",H1019-G1019)))*E1019</f>
        <v>1800</v>
      </c>
      <c r="L1019" s="43">
        <f>E1019*1.5</f>
        <v>1800</v>
      </c>
      <c r="M1019" s="43">
        <f>E1019*2</f>
        <v>2400</v>
      </c>
      <c r="N1019" s="1">
        <f t="shared" si="2008"/>
        <v>5</v>
      </c>
      <c r="O1019" s="1">
        <f t="shared" si="2009"/>
        <v>6000</v>
      </c>
      <c r="P1019" s="31"/>
      <c r="Q1019" s="31"/>
      <c r="R1019" s="31"/>
      <c r="S1019" s="31"/>
      <c r="T1019" s="31"/>
      <c r="U1019" s="31"/>
      <c r="V1019" s="31"/>
      <c r="W1019" s="31"/>
      <c r="X1019" s="31"/>
      <c r="Y1019" s="31"/>
      <c r="Z1019" s="31"/>
      <c r="AA1019" s="31"/>
      <c r="AB1019" s="31"/>
      <c r="AC1019" s="31"/>
      <c r="AD1019" s="31"/>
      <c r="AE1019" s="31"/>
      <c r="AF1019" s="31"/>
      <c r="AG1019" s="31"/>
    </row>
    <row r="1020" spans="1:33" s="32" customFormat="1" ht="15" customHeight="1">
      <c r="A1020" s="37">
        <v>43816</v>
      </c>
      <c r="B1020" s="20" t="s">
        <v>43</v>
      </c>
      <c r="C1020" s="20" t="s">
        <v>47</v>
      </c>
      <c r="D1020" s="20">
        <v>1260</v>
      </c>
      <c r="E1020" s="38">
        <v>500</v>
      </c>
      <c r="F1020" s="20" t="s">
        <v>8</v>
      </c>
      <c r="G1020" s="43">
        <v>20.5</v>
      </c>
      <c r="H1020" s="43">
        <v>23.5</v>
      </c>
      <c r="I1020" s="43">
        <v>0</v>
      </c>
      <c r="J1020" s="43">
        <v>0</v>
      </c>
      <c r="K1020" s="1">
        <f t="shared" ref="K1020" si="2037">(IF(F1020="SELL",G1020-H1020,IF(F1020="BUY",H1020-G1020)))*E1020</f>
        <v>1500</v>
      </c>
      <c r="L1020" s="43">
        <v>0</v>
      </c>
      <c r="M1020" s="43">
        <v>0</v>
      </c>
      <c r="N1020" s="1">
        <f t="shared" si="2008"/>
        <v>3</v>
      </c>
      <c r="O1020" s="1">
        <f t="shared" si="2009"/>
        <v>1500</v>
      </c>
      <c r="P1020" s="31"/>
      <c r="Q1020" s="31"/>
      <c r="R1020" s="31"/>
      <c r="S1020" s="31"/>
      <c r="T1020" s="31"/>
      <c r="U1020" s="31"/>
      <c r="V1020" s="31"/>
      <c r="W1020" s="31"/>
      <c r="X1020" s="31"/>
      <c r="Y1020" s="31"/>
      <c r="Z1020" s="31"/>
      <c r="AA1020" s="31"/>
      <c r="AB1020" s="31"/>
      <c r="AC1020" s="31"/>
      <c r="AD1020" s="31"/>
      <c r="AE1020" s="31"/>
      <c r="AF1020" s="31"/>
      <c r="AG1020" s="31"/>
    </row>
    <row r="1021" spans="1:33" s="32" customFormat="1" ht="15" customHeight="1">
      <c r="A1021" s="37">
        <v>43816</v>
      </c>
      <c r="B1021" s="20" t="s">
        <v>60</v>
      </c>
      <c r="C1021" s="20" t="s">
        <v>47</v>
      </c>
      <c r="D1021" s="20">
        <v>155</v>
      </c>
      <c r="E1021" s="38">
        <v>3000</v>
      </c>
      <c r="F1021" s="20" t="s">
        <v>8</v>
      </c>
      <c r="G1021" s="43">
        <v>2.9</v>
      </c>
      <c r="H1021" s="43">
        <v>3.6</v>
      </c>
      <c r="I1021" s="43">
        <v>4.3</v>
      </c>
      <c r="J1021" s="43">
        <v>0</v>
      </c>
      <c r="K1021" s="1">
        <f t="shared" ref="K1021" si="2038">(IF(F1021="SELL",G1021-H1021,IF(F1021="BUY",H1021-G1021)))*E1021</f>
        <v>2100.0000000000005</v>
      </c>
      <c r="L1021" s="43">
        <f>E1021*0.7</f>
        <v>2100</v>
      </c>
      <c r="M1021" s="43">
        <v>0</v>
      </c>
      <c r="N1021" s="1">
        <f t="shared" si="2008"/>
        <v>1.4</v>
      </c>
      <c r="O1021" s="1">
        <f t="shared" si="2009"/>
        <v>4200</v>
      </c>
      <c r="P1021" s="31"/>
      <c r="Q1021" s="31"/>
      <c r="R1021" s="31"/>
      <c r="S1021" s="31"/>
      <c r="T1021" s="31"/>
      <c r="U1021" s="31"/>
      <c r="V1021" s="31"/>
      <c r="W1021" s="31"/>
      <c r="X1021" s="31"/>
      <c r="Y1021" s="31"/>
      <c r="Z1021" s="31"/>
      <c r="AA1021" s="31"/>
      <c r="AB1021" s="31"/>
      <c r="AC1021" s="31"/>
      <c r="AD1021" s="31"/>
      <c r="AE1021" s="31"/>
      <c r="AF1021" s="31"/>
      <c r="AG1021" s="31"/>
    </row>
    <row r="1022" spans="1:33" s="32" customFormat="1" ht="15" customHeight="1">
      <c r="A1022" s="37">
        <v>43816</v>
      </c>
      <c r="B1022" s="20" t="s">
        <v>430</v>
      </c>
      <c r="C1022" s="20" t="s">
        <v>46</v>
      </c>
      <c r="D1022" s="20">
        <v>510</v>
      </c>
      <c r="E1022" s="38">
        <v>1000</v>
      </c>
      <c r="F1022" s="20" t="s">
        <v>8</v>
      </c>
      <c r="G1022" s="43">
        <v>11</v>
      </c>
      <c r="H1022" s="43">
        <v>11.65</v>
      </c>
      <c r="I1022" s="43">
        <v>0</v>
      </c>
      <c r="J1022" s="43">
        <v>0</v>
      </c>
      <c r="K1022" s="1">
        <f t="shared" ref="K1022" si="2039">(IF(F1022="SELL",G1022-H1022,IF(F1022="BUY",H1022-G1022)))*E1022</f>
        <v>650.00000000000034</v>
      </c>
      <c r="L1022" s="43">
        <v>0</v>
      </c>
      <c r="M1022" s="43">
        <v>0</v>
      </c>
      <c r="N1022" s="1">
        <f t="shared" si="2008"/>
        <v>0.65000000000000036</v>
      </c>
      <c r="O1022" s="1">
        <f t="shared" si="2009"/>
        <v>650.00000000000034</v>
      </c>
      <c r="P1022" s="31"/>
      <c r="Q1022" s="31"/>
      <c r="R1022" s="31"/>
      <c r="S1022" s="31"/>
      <c r="T1022" s="31"/>
      <c r="U1022" s="31"/>
      <c r="V1022" s="31"/>
      <c r="W1022" s="31"/>
      <c r="X1022" s="31"/>
      <c r="Y1022" s="31"/>
      <c r="Z1022" s="31"/>
      <c r="AA1022" s="31"/>
      <c r="AB1022" s="31"/>
      <c r="AC1022" s="31"/>
      <c r="AD1022" s="31"/>
      <c r="AE1022" s="31"/>
      <c r="AF1022" s="31"/>
      <c r="AG1022" s="31"/>
    </row>
    <row r="1023" spans="1:33" s="32" customFormat="1" ht="15" customHeight="1">
      <c r="A1023" s="37">
        <v>43815</v>
      </c>
      <c r="B1023" s="20" t="s">
        <v>430</v>
      </c>
      <c r="C1023" s="20" t="s">
        <v>46</v>
      </c>
      <c r="D1023" s="20">
        <v>510</v>
      </c>
      <c r="E1023" s="38">
        <v>1000</v>
      </c>
      <c r="F1023" s="20" t="s">
        <v>8</v>
      </c>
      <c r="G1023" s="43">
        <v>9.1999999999999993</v>
      </c>
      <c r="H1023" s="43">
        <v>11</v>
      </c>
      <c r="I1023" s="43">
        <v>0</v>
      </c>
      <c r="J1023" s="43">
        <v>0</v>
      </c>
      <c r="K1023" s="1">
        <f t="shared" ref="K1023" si="2040">(IF(F1023="SELL",G1023-H1023,IF(F1023="BUY",H1023-G1023)))*E1023</f>
        <v>1800.0000000000007</v>
      </c>
      <c r="L1023" s="43">
        <v>0</v>
      </c>
      <c r="M1023" s="43">
        <v>0</v>
      </c>
      <c r="N1023" s="1">
        <f t="shared" si="2008"/>
        <v>1.8000000000000007</v>
      </c>
      <c r="O1023" s="1">
        <f t="shared" si="2009"/>
        <v>1800.0000000000007</v>
      </c>
      <c r="P1023" s="31"/>
      <c r="Q1023" s="31"/>
      <c r="R1023" s="31"/>
      <c r="S1023" s="31"/>
      <c r="T1023" s="31"/>
      <c r="U1023" s="31"/>
      <c r="V1023" s="31"/>
      <c r="W1023" s="31"/>
      <c r="X1023" s="31"/>
      <c r="Y1023" s="31"/>
      <c r="Z1023" s="31"/>
      <c r="AA1023" s="31"/>
      <c r="AB1023" s="31"/>
      <c r="AC1023" s="31"/>
      <c r="AD1023" s="31"/>
      <c r="AE1023" s="31"/>
      <c r="AF1023" s="31"/>
      <c r="AG1023" s="31"/>
    </row>
    <row r="1024" spans="1:33" s="32" customFormat="1" ht="15" customHeight="1">
      <c r="A1024" s="37">
        <v>43815</v>
      </c>
      <c r="B1024" s="20" t="s">
        <v>471</v>
      </c>
      <c r="C1024" s="20" t="s">
        <v>47</v>
      </c>
      <c r="D1024" s="20">
        <v>470</v>
      </c>
      <c r="E1024" s="38">
        <v>1000</v>
      </c>
      <c r="F1024" s="20" t="s">
        <v>8</v>
      </c>
      <c r="G1024" s="43">
        <v>11</v>
      </c>
      <c r="H1024" s="43">
        <v>13.5</v>
      </c>
      <c r="I1024" s="43">
        <v>0</v>
      </c>
      <c r="J1024" s="43">
        <v>0</v>
      </c>
      <c r="K1024" s="1">
        <f t="shared" ref="K1024" si="2041">(IF(F1024="SELL",G1024-H1024,IF(F1024="BUY",H1024-G1024)))*E1024</f>
        <v>2500</v>
      </c>
      <c r="L1024" s="43">
        <v>0</v>
      </c>
      <c r="M1024" s="43">
        <v>0</v>
      </c>
      <c r="N1024" s="1">
        <f t="shared" si="2008"/>
        <v>2.5</v>
      </c>
      <c r="O1024" s="1">
        <f t="shared" si="2009"/>
        <v>2500</v>
      </c>
      <c r="P1024" s="31"/>
      <c r="Q1024" s="31"/>
      <c r="R1024" s="31"/>
      <c r="S1024" s="31"/>
      <c r="T1024" s="31"/>
      <c r="U1024" s="31"/>
      <c r="V1024" s="31"/>
      <c r="W1024" s="31"/>
      <c r="X1024" s="31"/>
      <c r="Y1024" s="31"/>
      <c r="Z1024" s="31"/>
      <c r="AA1024" s="31"/>
      <c r="AB1024" s="31"/>
      <c r="AC1024" s="31"/>
      <c r="AD1024" s="31"/>
      <c r="AE1024" s="31"/>
      <c r="AF1024" s="31"/>
      <c r="AG1024" s="31"/>
    </row>
    <row r="1025" spans="1:33" s="32" customFormat="1" ht="15" customHeight="1">
      <c r="A1025" s="37">
        <v>43815</v>
      </c>
      <c r="B1025" s="20" t="s">
        <v>122</v>
      </c>
      <c r="C1025" s="20" t="s">
        <v>47</v>
      </c>
      <c r="D1025" s="20">
        <v>2360</v>
      </c>
      <c r="E1025" s="38">
        <v>250</v>
      </c>
      <c r="F1025" s="20" t="s">
        <v>8</v>
      </c>
      <c r="G1025" s="43">
        <v>39</v>
      </c>
      <c r="H1025" s="43">
        <v>47</v>
      </c>
      <c r="I1025" s="43">
        <v>0</v>
      </c>
      <c r="J1025" s="43">
        <v>0</v>
      </c>
      <c r="K1025" s="1">
        <f t="shared" ref="K1025" si="2042">(IF(F1025="SELL",G1025-H1025,IF(F1025="BUY",H1025-G1025)))*E1025</f>
        <v>2000</v>
      </c>
      <c r="L1025" s="43">
        <v>0</v>
      </c>
      <c r="M1025" s="43">
        <v>0</v>
      </c>
      <c r="N1025" s="1">
        <f t="shared" si="2008"/>
        <v>8</v>
      </c>
      <c r="O1025" s="1">
        <f t="shared" si="2009"/>
        <v>2000</v>
      </c>
      <c r="P1025" s="31"/>
      <c r="Q1025" s="31"/>
      <c r="R1025" s="31"/>
      <c r="S1025" s="31"/>
      <c r="T1025" s="31"/>
      <c r="U1025" s="31"/>
      <c r="V1025" s="31"/>
      <c r="W1025" s="31"/>
      <c r="X1025" s="31"/>
      <c r="Y1025" s="31"/>
      <c r="Z1025" s="31"/>
      <c r="AA1025" s="31"/>
      <c r="AB1025" s="31"/>
      <c r="AC1025" s="31"/>
      <c r="AD1025" s="31"/>
      <c r="AE1025" s="31"/>
      <c r="AF1025" s="31"/>
      <c r="AG1025" s="31"/>
    </row>
    <row r="1026" spans="1:33" s="32" customFormat="1" ht="15" customHeight="1">
      <c r="A1026" s="37">
        <v>43812</v>
      </c>
      <c r="B1026" s="20" t="s">
        <v>190</v>
      </c>
      <c r="C1026" s="20" t="s">
        <v>47</v>
      </c>
      <c r="D1026" s="20">
        <v>1740</v>
      </c>
      <c r="E1026" s="38">
        <v>550</v>
      </c>
      <c r="F1026" s="20" t="s">
        <v>8</v>
      </c>
      <c r="G1026" s="43">
        <v>30</v>
      </c>
      <c r="H1026" s="43">
        <v>26</v>
      </c>
      <c r="I1026" s="43">
        <v>0</v>
      </c>
      <c r="J1026" s="43">
        <v>0</v>
      </c>
      <c r="K1026" s="1">
        <f t="shared" ref="K1026" si="2043">(IF(F1026="SELL",G1026-H1026,IF(F1026="BUY",H1026-G1026)))*E1026</f>
        <v>-2200</v>
      </c>
      <c r="L1026" s="43">
        <v>0</v>
      </c>
      <c r="M1026" s="43">
        <v>0</v>
      </c>
      <c r="N1026" s="1">
        <f t="shared" si="2008"/>
        <v>-4</v>
      </c>
      <c r="O1026" s="1">
        <f t="shared" si="2009"/>
        <v>-2200</v>
      </c>
      <c r="P1026" s="31"/>
      <c r="Q1026" s="31"/>
      <c r="R1026" s="31"/>
      <c r="S1026" s="31"/>
      <c r="T1026" s="31"/>
      <c r="U1026" s="31"/>
      <c r="V1026" s="31"/>
      <c r="W1026" s="31"/>
      <c r="X1026" s="31"/>
      <c r="Y1026" s="31"/>
      <c r="Z1026" s="31"/>
      <c r="AA1026" s="31"/>
      <c r="AB1026" s="31"/>
      <c r="AC1026" s="31"/>
      <c r="AD1026" s="31"/>
      <c r="AE1026" s="31"/>
      <c r="AF1026" s="31"/>
      <c r="AG1026" s="31"/>
    </row>
    <row r="1027" spans="1:33" s="32" customFormat="1" ht="15" customHeight="1">
      <c r="A1027" s="37">
        <v>43812</v>
      </c>
      <c r="B1027" s="20" t="s">
        <v>190</v>
      </c>
      <c r="C1027" s="20" t="s">
        <v>47</v>
      </c>
      <c r="D1027" s="20">
        <v>730</v>
      </c>
      <c r="E1027" s="38">
        <v>1200</v>
      </c>
      <c r="F1027" s="20" t="s">
        <v>8</v>
      </c>
      <c r="G1027" s="43">
        <v>13</v>
      </c>
      <c r="H1027" s="43">
        <v>14</v>
      </c>
      <c r="I1027" s="43">
        <v>0</v>
      </c>
      <c r="J1027" s="43">
        <v>0</v>
      </c>
      <c r="K1027" s="1">
        <f t="shared" ref="K1027" si="2044">(IF(F1027="SELL",G1027-H1027,IF(F1027="BUY",H1027-G1027)))*E1027</f>
        <v>1200</v>
      </c>
      <c r="L1027" s="43">
        <v>0</v>
      </c>
      <c r="M1027" s="43">
        <v>0</v>
      </c>
      <c r="N1027" s="1">
        <f t="shared" si="2008"/>
        <v>1</v>
      </c>
      <c r="O1027" s="1">
        <f t="shared" si="2009"/>
        <v>1200</v>
      </c>
      <c r="P1027" s="31"/>
      <c r="Q1027" s="31"/>
      <c r="R1027" s="31"/>
      <c r="S1027" s="31"/>
      <c r="T1027" s="31"/>
      <c r="U1027" s="31"/>
      <c r="V1027" s="31"/>
      <c r="W1027" s="31"/>
      <c r="X1027" s="31"/>
      <c r="Y1027" s="31"/>
      <c r="Z1027" s="31"/>
      <c r="AA1027" s="31"/>
      <c r="AB1027" s="31"/>
      <c r="AC1027" s="31"/>
      <c r="AD1027" s="31"/>
      <c r="AE1027" s="31"/>
      <c r="AF1027" s="31"/>
      <c r="AG1027" s="31"/>
    </row>
    <row r="1028" spans="1:33" s="32" customFormat="1" ht="15" customHeight="1">
      <c r="A1028" s="37">
        <v>43812</v>
      </c>
      <c r="B1028" s="20" t="s">
        <v>470</v>
      </c>
      <c r="C1028" s="20" t="s">
        <v>47</v>
      </c>
      <c r="D1028" s="20">
        <v>235</v>
      </c>
      <c r="E1028" s="38">
        <v>2800</v>
      </c>
      <c r="F1028" s="20" t="s">
        <v>8</v>
      </c>
      <c r="G1028" s="43">
        <v>6</v>
      </c>
      <c r="H1028" s="43">
        <v>6.8</v>
      </c>
      <c r="I1028" s="43">
        <v>0</v>
      </c>
      <c r="J1028" s="43">
        <v>0</v>
      </c>
      <c r="K1028" s="1">
        <f t="shared" ref="K1028" si="2045">(IF(F1028="SELL",G1028-H1028,IF(F1028="BUY",H1028-G1028)))*E1028</f>
        <v>2239.9999999999995</v>
      </c>
      <c r="L1028" s="43">
        <v>0</v>
      </c>
      <c r="M1028" s="43">
        <v>0</v>
      </c>
      <c r="N1028" s="1">
        <f t="shared" si="2008"/>
        <v>0.79999999999999982</v>
      </c>
      <c r="O1028" s="1">
        <f t="shared" si="2009"/>
        <v>2239.9999999999995</v>
      </c>
      <c r="P1028" s="31"/>
      <c r="Q1028" s="31"/>
      <c r="R1028" s="31"/>
      <c r="S1028" s="31"/>
      <c r="T1028" s="31"/>
      <c r="U1028" s="31"/>
      <c r="V1028" s="31"/>
      <c r="W1028" s="31"/>
      <c r="X1028" s="31"/>
      <c r="Y1028" s="31"/>
      <c r="Z1028" s="31"/>
      <c r="AA1028" s="31"/>
      <c r="AB1028" s="31"/>
      <c r="AC1028" s="31"/>
      <c r="AD1028" s="31"/>
      <c r="AE1028" s="31"/>
      <c r="AF1028" s="31"/>
      <c r="AG1028" s="31"/>
    </row>
    <row r="1029" spans="1:33" s="32" customFormat="1" ht="15" customHeight="1">
      <c r="A1029" s="37">
        <v>43811</v>
      </c>
      <c r="B1029" s="20" t="s">
        <v>17</v>
      </c>
      <c r="C1029" s="20" t="s">
        <v>47</v>
      </c>
      <c r="D1029" s="20">
        <v>730</v>
      </c>
      <c r="E1029" s="38">
        <v>1200</v>
      </c>
      <c r="F1029" s="20" t="s">
        <v>8</v>
      </c>
      <c r="G1029" s="43">
        <v>13</v>
      </c>
      <c r="H1029" s="43">
        <v>14</v>
      </c>
      <c r="I1029" s="43">
        <v>0</v>
      </c>
      <c r="J1029" s="43">
        <v>0</v>
      </c>
      <c r="K1029" s="1">
        <f t="shared" ref="K1029" si="2046">(IF(F1029="SELL",G1029-H1029,IF(F1029="BUY",H1029-G1029)))*E1029</f>
        <v>1200</v>
      </c>
      <c r="L1029" s="43">
        <v>0</v>
      </c>
      <c r="M1029" s="43">
        <v>0</v>
      </c>
      <c r="N1029" s="1">
        <f t="shared" si="2008"/>
        <v>1</v>
      </c>
      <c r="O1029" s="1">
        <f t="shared" si="2009"/>
        <v>1200</v>
      </c>
      <c r="P1029" s="31"/>
      <c r="Q1029" s="31"/>
      <c r="R1029" s="31"/>
      <c r="S1029" s="31"/>
      <c r="T1029" s="31"/>
      <c r="U1029" s="31"/>
      <c r="V1029" s="31"/>
      <c r="W1029" s="31"/>
      <c r="X1029" s="31"/>
      <c r="Y1029" s="31"/>
      <c r="Z1029" s="31"/>
      <c r="AA1029" s="31"/>
      <c r="AB1029" s="31"/>
      <c r="AC1029" s="31"/>
      <c r="AD1029" s="31"/>
      <c r="AE1029" s="31"/>
      <c r="AF1029" s="31"/>
      <c r="AG1029" s="31"/>
    </row>
    <row r="1030" spans="1:33" s="32" customFormat="1" ht="15" customHeight="1">
      <c r="A1030" s="37">
        <v>43811</v>
      </c>
      <c r="B1030" s="20" t="s">
        <v>208</v>
      </c>
      <c r="C1030" s="20" t="s">
        <v>47</v>
      </c>
      <c r="D1030" s="20">
        <v>1900</v>
      </c>
      <c r="E1030" s="38">
        <v>550</v>
      </c>
      <c r="F1030" s="20" t="s">
        <v>8</v>
      </c>
      <c r="G1030" s="43">
        <v>19.5</v>
      </c>
      <c r="H1030" s="43">
        <v>22.5</v>
      </c>
      <c r="I1030" s="43">
        <v>0</v>
      </c>
      <c r="J1030" s="43">
        <v>0</v>
      </c>
      <c r="K1030" s="1">
        <f t="shared" ref="K1030" si="2047">(IF(F1030="SELL",G1030-H1030,IF(F1030="BUY",H1030-G1030)))*E1030</f>
        <v>1650</v>
      </c>
      <c r="L1030" s="43">
        <v>0</v>
      </c>
      <c r="M1030" s="43">
        <v>0</v>
      </c>
      <c r="N1030" s="1">
        <f t="shared" si="2008"/>
        <v>3</v>
      </c>
      <c r="O1030" s="1">
        <f t="shared" si="2009"/>
        <v>1650</v>
      </c>
      <c r="P1030" s="31"/>
      <c r="Q1030" s="31"/>
      <c r="R1030" s="31"/>
      <c r="S1030" s="31"/>
      <c r="T1030" s="31"/>
      <c r="U1030" s="31"/>
      <c r="V1030" s="31"/>
      <c r="W1030" s="31"/>
      <c r="X1030" s="31"/>
      <c r="Y1030" s="31"/>
      <c r="Z1030" s="31"/>
      <c r="AA1030" s="31"/>
      <c r="AB1030" s="31"/>
      <c r="AC1030" s="31"/>
      <c r="AD1030" s="31"/>
      <c r="AE1030" s="31"/>
      <c r="AF1030" s="31"/>
      <c r="AG1030" s="31"/>
    </row>
    <row r="1031" spans="1:33" s="32" customFormat="1" ht="15" customHeight="1">
      <c r="A1031" s="37">
        <v>43811</v>
      </c>
      <c r="B1031" s="20" t="s">
        <v>469</v>
      </c>
      <c r="C1031" s="20" t="s">
        <v>46</v>
      </c>
      <c r="D1031" s="20">
        <v>460</v>
      </c>
      <c r="E1031" s="38">
        <v>1000</v>
      </c>
      <c r="F1031" s="20" t="s">
        <v>8</v>
      </c>
      <c r="G1031" s="43">
        <v>15</v>
      </c>
      <c r="H1031" s="43">
        <v>12.5</v>
      </c>
      <c r="I1031" s="43">
        <v>0</v>
      </c>
      <c r="J1031" s="43">
        <v>0</v>
      </c>
      <c r="K1031" s="1">
        <f t="shared" ref="K1031" si="2048">(IF(F1031="SELL",G1031-H1031,IF(F1031="BUY",H1031-G1031)))*E1031</f>
        <v>-2500</v>
      </c>
      <c r="L1031" s="43">
        <v>0</v>
      </c>
      <c r="M1031" s="43">
        <v>0</v>
      </c>
      <c r="N1031" s="1">
        <f t="shared" si="2008"/>
        <v>-2.5</v>
      </c>
      <c r="O1031" s="1">
        <f t="shared" si="2009"/>
        <v>-2500</v>
      </c>
      <c r="P1031" s="31"/>
      <c r="Q1031" s="31"/>
      <c r="R1031" s="31"/>
      <c r="S1031" s="31"/>
      <c r="T1031" s="31"/>
      <c r="U1031" s="31"/>
      <c r="V1031" s="31"/>
      <c r="W1031" s="31"/>
      <c r="X1031" s="31"/>
      <c r="Y1031" s="31"/>
      <c r="Z1031" s="31"/>
      <c r="AA1031" s="31"/>
      <c r="AB1031" s="31"/>
      <c r="AC1031" s="31"/>
      <c r="AD1031" s="31"/>
      <c r="AE1031" s="31"/>
      <c r="AF1031" s="31"/>
      <c r="AG1031" s="31"/>
    </row>
    <row r="1032" spans="1:33" s="32" customFormat="1" ht="15" customHeight="1">
      <c r="A1032" s="37">
        <v>43810</v>
      </c>
      <c r="B1032" s="20" t="s">
        <v>190</v>
      </c>
      <c r="C1032" s="20" t="s">
        <v>47</v>
      </c>
      <c r="D1032" s="20">
        <v>1720</v>
      </c>
      <c r="E1032" s="38">
        <v>550</v>
      </c>
      <c r="F1032" s="20" t="s">
        <v>8</v>
      </c>
      <c r="G1032" s="43">
        <v>40</v>
      </c>
      <c r="H1032" s="43">
        <v>35</v>
      </c>
      <c r="I1032" s="43">
        <v>0</v>
      </c>
      <c r="J1032" s="43">
        <v>0</v>
      </c>
      <c r="K1032" s="1">
        <f t="shared" ref="K1032" si="2049">(IF(F1032="SELL",G1032-H1032,IF(F1032="BUY",H1032-G1032)))*E1032</f>
        <v>-2750</v>
      </c>
      <c r="L1032" s="43">
        <v>0</v>
      </c>
      <c r="M1032" s="43">
        <v>0</v>
      </c>
      <c r="N1032" s="1">
        <f t="shared" si="2008"/>
        <v>-5</v>
      </c>
      <c r="O1032" s="1">
        <f t="shared" si="2009"/>
        <v>-2750</v>
      </c>
      <c r="P1032" s="31"/>
      <c r="Q1032" s="31"/>
      <c r="R1032" s="31"/>
      <c r="S1032" s="31"/>
      <c r="T1032" s="31"/>
      <c r="U1032" s="31"/>
      <c r="V1032" s="31"/>
      <c r="W1032" s="31"/>
      <c r="X1032" s="31"/>
      <c r="Y1032" s="31"/>
      <c r="Z1032" s="31"/>
      <c r="AA1032" s="31"/>
      <c r="AB1032" s="31"/>
      <c r="AC1032" s="31"/>
      <c r="AD1032" s="31"/>
      <c r="AE1032" s="31"/>
      <c r="AF1032" s="31"/>
      <c r="AG1032" s="31"/>
    </row>
    <row r="1033" spans="1:33" s="32" customFormat="1" ht="15" customHeight="1">
      <c r="A1033" s="37">
        <v>43810</v>
      </c>
      <c r="B1033" s="20" t="s">
        <v>128</v>
      </c>
      <c r="C1033" s="20" t="s">
        <v>47</v>
      </c>
      <c r="D1033" s="20">
        <v>1680</v>
      </c>
      <c r="E1033" s="38">
        <v>400</v>
      </c>
      <c r="F1033" s="20" t="s">
        <v>8</v>
      </c>
      <c r="G1033" s="43">
        <v>30.5</v>
      </c>
      <c r="H1033" s="43">
        <v>35.5</v>
      </c>
      <c r="I1033" s="43">
        <v>0</v>
      </c>
      <c r="J1033" s="43">
        <v>0</v>
      </c>
      <c r="K1033" s="1">
        <f t="shared" ref="K1033" si="2050">(IF(F1033="SELL",G1033-H1033,IF(F1033="BUY",H1033-G1033)))*E1033</f>
        <v>2000</v>
      </c>
      <c r="L1033" s="43">
        <v>0</v>
      </c>
      <c r="M1033" s="43">
        <v>0</v>
      </c>
      <c r="N1033" s="1">
        <f t="shared" si="2008"/>
        <v>5</v>
      </c>
      <c r="O1033" s="1">
        <f t="shared" si="2009"/>
        <v>2000</v>
      </c>
      <c r="P1033" s="31"/>
      <c r="Q1033" s="31"/>
      <c r="R1033" s="31"/>
      <c r="S1033" s="31"/>
      <c r="T1033" s="31"/>
      <c r="U1033" s="31"/>
      <c r="V1033" s="31"/>
      <c r="W1033" s="31"/>
      <c r="X1033" s="31"/>
      <c r="Y1033" s="31"/>
      <c r="Z1033" s="31"/>
      <c r="AA1033" s="31"/>
      <c r="AB1033" s="31"/>
      <c r="AC1033" s="31"/>
      <c r="AD1033" s="31"/>
      <c r="AE1033" s="31"/>
      <c r="AF1033" s="31"/>
      <c r="AG1033" s="31"/>
    </row>
    <row r="1034" spans="1:33" s="32" customFormat="1" ht="15" customHeight="1">
      <c r="A1034" s="37">
        <v>43810</v>
      </c>
      <c r="B1034" s="20" t="s">
        <v>414</v>
      </c>
      <c r="C1034" s="20" t="s">
        <v>46</v>
      </c>
      <c r="D1034" s="20">
        <v>40</v>
      </c>
      <c r="E1034" s="38">
        <v>2200</v>
      </c>
      <c r="F1034" s="20" t="s">
        <v>8</v>
      </c>
      <c r="G1034" s="43">
        <v>4.3</v>
      </c>
      <c r="H1034" s="43">
        <v>5.3</v>
      </c>
      <c r="I1034" s="43">
        <v>6.3</v>
      </c>
      <c r="J1034" s="43">
        <v>7.3</v>
      </c>
      <c r="K1034" s="1">
        <f t="shared" ref="K1034" si="2051">(IF(F1034="SELL",G1034-H1034,IF(F1034="BUY",H1034-G1034)))*E1034</f>
        <v>2200</v>
      </c>
      <c r="L1034" s="43">
        <f>E1034*1</f>
        <v>2200</v>
      </c>
      <c r="M1034" s="43">
        <f>E1034*1</f>
        <v>2200</v>
      </c>
      <c r="N1034" s="1">
        <f t="shared" si="2008"/>
        <v>3</v>
      </c>
      <c r="O1034" s="1">
        <f t="shared" si="2009"/>
        <v>6600</v>
      </c>
      <c r="P1034" s="31"/>
      <c r="Q1034" s="31"/>
      <c r="R1034" s="31"/>
      <c r="S1034" s="31"/>
      <c r="T1034" s="31"/>
      <c r="U1034" s="31"/>
      <c r="V1034" s="31"/>
      <c r="W1034" s="31"/>
      <c r="X1034" s="31"/>
      <c r="Y1034" s="31"/>
      <c r="Z1034" s="31"/>
      <c r="AA1034" s="31"/>
      <c r="AB1034" s="31"/>
      <c r="AC1034" s="31"/>
      <c r="AD1034" s="31"/>
      <c r="AE1034" s="31"/>
      <c r="AF1034" s="31"/>
      <c r="AG1034" s="31"/>
    </row>
    <row r="1035" spans="1:33" s="32" customFormat="1" ht="15" customHeight="1">
      <c r="A1035" s="37">
        <v>43809</v>
      </c>
      <c r="B1035" s="20" t="s">
        <v>77</v>
      </c>
      <c r="C1035" s="20" t="s">
        <v>46</v>
      </c>
      <c r="D1035" s="20">
        <v>115</v>
      </c>
      <c r="E1035" s="38">
        <v>5334</v>
      </c>
      <c r="F1035" s="20" t="s">
        <v>8</v>
      </c>
      <c r="G1035" s="43">
        <v>3.4</v>
      </c>
      <c r="H1035" s="43">
        <v>3.9</v>
      </c>
      <c r="I1035" s="43">
        <v>4.5</v>
      </c>
      <c r="J1035" s="43">
        <v>5.2</v>
      </c>
      <c r="K1035" s="1">
        <f t="shared" ref="K1035" si="2052">(IF(F1035="SELL",G1035-H1035,IF(F1035="BUY",H1035-G1035)))*E1035</f>
        <v>2667</v>
      </c>
      <c r="L1035" s="43">
        <f>E1035*0.6</f>
        <v>3200.4</v>
      </c>
      <c r="M1035" s="43">
        <f>E1035*0.7</f>
        <v>3733.7999999999997</v>
      </c>
      <c r="N1035" s="1">
        <f t="shared" si="2008"/>
        <v>1.7999999999999998</v>
      </c>
      <c r="O1035" s="1">
        <f t="shared" si="2009"/>
        <v>9601.1999999999989</v>
      </c>
      <c r="P1035" s="31"/>
      <c r="Q1035" s="31"/>
      <c r="R1035" s="31"/>
      <c r="S1035" s="31"/>
      <c r="T1035" s="31"/>
      <c r="U1035" s="31"/>
      <c r="V1035" s="31"/>
      <c r="W1035" s="31"/>
      <c r="X1035" s="31"/>
      <c r="Y1035" s="31"/>
      <c r="Z1035" s="31"/>
      <c r="AA1035" s="31"/>
      <c r="AB1035" s="31"/>
      <c r="AC1035" s="31"/>
      <c r="AD1035" s="31"/>
      <c r="AE1035" s="31"/>
      <c r="AF1035" s="31"/>
      <c r="AG1035" s="31"/>
    </row>
    <row r="1036" spans="1:33" s="32" customFormat="1" ht="15" customHeight="1">
      <c r="A1036" s="37">
        <v>43809</v>
      </c>
      <c r="B1036" s="20" t="s">
        <v>122</v>
      </c>
      <c r="C1036" s="20" t="s">
        <v>47</v>
      </c>
      <c r="D1036" s="20">
        <v>2280</v>
      </c>
      <c r="E1036" s="38">
        <v>250</v>
      </c>
      <c r="F1036" s="20" t="s">
        <v>8</v>
      </c>
      <c r="G1036" s="43">
        <v>72</v>
      </c>
      <c r="H1036" s="43">
        <v>62</v>
      </c>
      <c r="I1036" s="43">
        <v>0</v>
      </c>
      <c r="J1036" s="43">
        <v>0</v>
      </c>
      <c r="K1036" s="1">
        <f t="shared" ref="K1036" si="2053">(IF(F1036="SELL",G1036-H1036,IF(F1036="BUY",H1036-G1036)))*E1036</f>
        <v>-2500</v>
      </c>
      <c r="L1036" s="43">
        <v>0</v>
      </c>
      <c r="M1036" s="43">
        <v>0</v>
      </c>
      <c r="N1036" s="1">
        <f t="shared" si="2008"/>
        <v>-10</v>
      </c>
      <c r="O1036" s="1">
        <f t="shared" si="2009"/>
        <v>-2500</v>
      </c>
      <c r="P1036" s="31"/>
      <c r="Q1036" s="31"/>
      <c r="R1036" s="31"/>
      <c r="S1036" s="31"/>
      <c r="T1036" s="31"/>
      <c r="U1036" s="31"/>
      <c r="V1036" s="31"/>
      <c r="W1036" s="31"/>
      <c r="X1036" s="31"/>
      <c r="Y1036" s="31"/>
      <c r="Z1036" s="31"/>
      <c r="AA1036" s="31"/>
      <c r="AB1036" s="31"/>
      <c r="AC1036" s="31"/>
      <c r="AD1036" s="31"/>
      <c r="AE1036" s="31"/>
      <c r="AF1036" s="31"/>
      <c r="AG1036" s="31"/>
    </row>
    <row r="1037" spans="1:33" s="32" customFormat="1" ht="15" customHeight="1">
      <c r="A1037" s="37">
        <v>43808</v>
      </c>
      <c r="B1037" s="20" t="s">
        <v>402</v>
      </c>
      <c r="C1037" s="20" t="s">
        <v>47</v>
      </c>
      <c r="D1037" s="20">
        <v>1580</v>
      </c>
      <c r="E1037" s="38">
        <v>500</v>
      </c>
      <c r="F1037" s="20" t="s">
        <v>8</v>
      </c>
      <c r="G1037" s="43">
        <v>31</v>
      </c>
      <c r="H1037" s="43">
        <v>32</v>
      </c>
      <c r="I1037" s="43">
        <v>0</v>
      </c>
      <c r="J1037" s="43">
        <v>0</v>
      </c>
      <c r="K1037" s="1">
        <f t="shared" ref="K1037:K1038" si="2054">(IF(F1037="SELL",G1037-H1037,IF(F1037="BUY",H1037-G1037)))*E1037</f>
        <v>500</v>
      </c>
      <c r="L1037" s="43">
        <v>0</v>
      </c>
      <c r="M1037" s="43">
        <v>0</v>
      </c>
      <c r="N1037" s="1">
        <f t="shared" si="2008"/>
        <v>1</v>
      </c>
      <c r="O1037" s="1">
        <f t="shared" si="2009"/>
        <v>500</v>
      </c>
      <c r="P1037" s="31"/>
      <c r="Q1037" s="31"/>
      <c r="R1037" s="31"/>
      <c r="S1037" s="31"/>
      <c r="T1037" s="31"/>
      <c r="U1037" s="31"/>
      <c r="V1037" s="31"/>
      <c r="W1037" s="31"/>
      <c r="X1037" s="31"/>
      <c r="Y1037" s="31"/>
      <c r="Z1037" s="31"/>
      <c r="AA1037" s="31"/>
      <c r="AB1037" s="31"/>
      <c r="AC1037" s="31"/>
      <c r="AD1037" s="31"/>
      <c r="AE1037" s="31"/>
      <c r="AF1037" s="31"/>
      <c r="AG1037" s="31"/>
    </row>
    <row r="1038" spans="1:33" s="32" customFormat="1" ht="15" customHeight="1">
      <c r="A1038" s="37">
        <v>43808</v>
      </c>
      <c r="B1038" s="20" t="s">
        <v>128</v>
      </c>
      <c r="C1038" s="20" t="s">
        <v>47</v>
      </c>
      <c r="D1038" s="20">
        <v>1680</v>
      </c>
      <c r="E1038" s="38">
        <v>400</v>
      </c>
      <c r="F1038" s="20" t="s">
        <v>8</v>
      </c>
      <c r="G1038" s="43">
        <v>34</v>
      </c>
      <c r="H1038" s="43">
        <v>27.5</v>
      </c>
      <c r="I1038" s="43">
        <v>0</v>
      </c>
      <c r="J1038" s="43">
        <v>0</v>
      </c>
      <c r="K1038" s="1">
        <f t="shared" si="2054"/>
        <v>-2600</v>
      </c>
      <c r="L1038" s="43">
        <v>0</v>
      </c>
      <c r="M1038" s="43">
        <v>0</v>
      </c>
      <c r="N1038" s="1">
        <f t="shared" si="2008"/>
        <v>-6.5</v>
      </c>
      <c r="O1038" s="1">
        <f t="shared" si="2009"/>
        <v>-2600</v>
      </c>
      <c r="P1038" s="31"/>
      <c r="Q1038" s="31"/>
      <c r="R1038" s="31"/>
      <c r="S1038" s="31"/>
      <c r="T1038" s="31"/>
      <c r="U1038" s="31"/>
      <c r="V1038" s="31"/>
      <c r="W1038" s="31"/>
      <c r="X1038" s="31"/>
      <c r="Y1038" s="31"/>
      <c r="Z1038" s="31"/>
      <c r="AA1038" s="31"/>
      <c r="AB1038" s="31"/>
      <c r="AC1038" s="31"/>
      <c r="AD1038" s="31"/>
      <c r="AE1038" s="31"/>
      <c r="AF1038" s="31"/>
      <c r="AG1038" s="31"/>
    </row>
    <row r="1039" spans="1:33" s="32" customFormat="1" ht="15" customHeight="1">
      <c r="A1039" s="37">
        <v>43808</v>
      </c>
      <c r="B1039" s="20" t="s">
        <v>100</v>
      </c>
      <c r="C1039" s="20" t="s">
        <v>47</v>
      </c>
      <c r="D1039" s="20">
        <v>3300</v>
      </c>
      <c r="E1039" s="38">
        <v>250</v>
      </c>
      <c r="F1039" s="20" t="s">
        <v>8</v>
      </c>
      <c r="G1039" s="43">
        <v>76</v>
      </c>
      <c r="H1039" s="43">
        <v>66</v>
      </c>
      <c r="I1039" s="43">
        <v>0</v>
      </c>
      <c r="J1039" s="43">
        <v>0</v>
      </c>
      <c r="K1039" s="1">
        <f t="shared" ref="K1039" si="2055">(IF(F1039="SELL",G1039-H1039,IF(F1039="BUY",H1039-G1039)))*E1039</f>
        <v>-2500</v>
      </c>
      <c r="L1039" s="43">
        <v>0</v>
      </c>
      <c r="M1039" s="43">
        <v>0</v>
      </c>
      <c r="N1039" s="1">
        <f t="shared" si="2008"/>
        <v>-10</v>
      </c>
      <c r="O1039" s="1">
        <f t="shared" si="2009"/>
        <v>-2500</v>
      </c>
      <c r="P1039" s="31"/>
      <c r="Q1039" s="31"/>
      <c r="R1039" s="31"/>
      <c r="S1039" s="31"/>
      <c r="T1039" s="31"/>
      <c r="U1039" s="31"/>
      <c r="V1039" s="31"/>
      <c r="W1039" s="31"/>
      <c r="X1039" s="31"/>
      <c r="Y1039" s="31"/>
      <c r="Z1039" s="31"/>
      <c r="AA1039" s="31"/>
      <c r="AB1039" s="31"/>
      <c r="AC1039" s="31"/>
      <c r="AD1039" s="31"/>
      <c r="AE1039" s="31"/>
      <c r="AF1039" s="31"/>
      <c r="AG1039" s="31"/>
    </row>
    <row r="1040" spans="1:33" s="32" customFormat="1" ht="15" customHeight="1">
      <c r="A1040" s="37">
        <v>43805</v>
      </c>
      <c r="B1040" s="20" t="s">
        <v>128</v>
      </c>
      <c r="C1040" s="20" t="s">
        <v>47</v>
      </c>
      <c r="D1040" s="20">
        <v>1660</v>
      </c>
      <c r="E1040" s="38">
        <v>400</v>
      </c>
      <c r="F1040" s="20" t="s">
        <v>8</v>
      </c>
      <c r="G1040" s="43">
        <v>37</v>
      </c>
      <c r="H1040" s="43">
        <v>42</v>
      </c>
      <c r="I1040" s="43">
        <v>46</v>
      </c>
      <c r="J1040" s="43">
        <v>0</v>
      </c>
      <c r="K1040" s="1">
        <f t="shared" ref="K1040" si="2056">(IF(F1040="SELL",G1040-H1040,IF(F1040="BUY",H1040-G1040)))*E1040</f>
        <v>2000</v>
      </c>
      <c r="L1040" s="43">
        <f>E1040*4</f>
        <v>1600</v>
      </c>
      <c r="M1040" s="43">
        <v>0</v>
      </c>
      <c r="N1040" s="1">
        <f t="shared" si="2008"/>
        <v>9</v>
      </c>
      <c r="O1040" s="1">
        <f t="shared" si="2009"/>
        <v>3600</v>
      </c>
      <c r="P1040" s="31"/>
      <c r="Q1040" s="31"/>
      <c r="R1040" s="31"/>
      <c r="S1040" s="31"/>
      <c r="T1040" s="31"/>
      <c r="U1040" s="31"/>
      <c r="V1040" s="31"/>
      <c r="W1040" s="31"/>
      <c r="X1040" s="31"/>
      <c r="Y1040" s="31"/>
      <c r="Z1040" s="31"/>
      <c r="AA1040" s="31"/>
      <c r="AB1040" s="31"/>
      <c r="AC1040" s="31"/>
      <c r="AD1040" s="31"/>
      <c r="AE1040" s="31"/>
      <c r="AF1040" s="31"/>
      <c r="AG1040" s="31"/>
    </row>
    <row r="1041" spans="1:33" s="32" customFormat="1" ht="15" customHeight="1">
      <c r="A1041" s="37">
        <v>43805</v>
      </c>
      <c r="B1041" s="20" t="s">
        <v>38</v>
      </c>
      <c r="C1041" s="20" t="s">
        <v>46</v>
      </c>
      <c r="D1041" s="20">
        <v>7100</v>
      </c>
      <c r="E1041" s="38">
        <v>75</v>
      </c>
      <c r="F1041" s="20" t="s">
        <v>8</v>
      </c>
      <c r="G1041" s="43">
        <v>225</v>
      </c>
      <c r="H1041" s="43">
        <v>255</v>
      </c>
      <c r="I1041" s="43">
        <v>290</v>
      </c>
      <c r="J1041" s="43">
        <v>0</v>
      </c>
      <c r="K1041" s="1">
        <f t="shared" ref="K1041" si="2057">(IF(F1041="SELL",G1041-H1041,IF(F1041="BUY",H1041-G1041)))*E1041</f>
        <v>2250</v>
      </c>
      <c r="L1041" s="43">
        <f>E1041*35</f>
        <v>2625</v>
      </c>
      <c r="M1041" s="43">
        <v>0</v>
      </c>
      <c r="N1041" s="1">
        <f t="shared" si="2008"/>
        <v>65</v>
      </c>
      <c r="O1041" s="1">
        <f t="shared" si="2009"/>
        <v>4875</v>
      </c>
      <c r="P1041" s="31"/>
      <c r="Q1041" s="31"/>
      <c r="R1041" s="31"/>
      <c r="S1041" s="31"/>
      <c r="T1041" s="31"/>
      <c r="U1041" s="31"/>
      <c r="V1041" s="31"/>
      <c r="W1041" s="31"/>
      <c r="X1041" s="31"/>
      <c r="Y1041" s="31"/>
      <c r="Z1041" s="31"/>
      <c r="AA1041" s="31"/>
      <c r="AB1041" s="31"/>
      <c r="AC1041" s="31"/>
      <c r="AD1041" s="31"/>
      <c r="AE1041" s="31"/>
      <c r="AF1041" s="31"/>
      <c r="AG1041" s="31"/>
    </row>
    <row r="1042" spans="1:33" s="32" customFormat="1" ht="15" customHeight="1">
      <c r="A1042" s="37">
        <v>43804</v>
      </c>
      <c r="B1042" s="20" t="s">
        <v>461</v>
      </c>
      <c r="C1042" s="20" t="s">
        <v>47</v>
      </c>
      <c r="D1042" s="20">
        <v>3300</v>
      </c>
      <c r="E1042" s="38">
        <v>250</v>
      </c>
      <c r="F1042" s="20" t="s">
        <v>8</v>
      </c>
      <c r="G1042" s="43">
        <v>49</v>
      </c>
      <c r="H1042" s="43">
        <v>56</v>
      </c>
      <c r="I1042" s="43">
        <v>0</v>
      </c>
      <c r="J1042" s="43">
        <v>0</v>
      </c>
      <c r="K1042" s="1">
        <f t="shared" ref="K1042" si="2058">(IF(F1042="SELL",G1042-H1042,IF(F1042="BUY",H1042-G1042)))*E1042</f>
        <v>1750</v>
      </c>
      <c r="L1042" s="43">
        <v>0</v>
      </c>
      <c r="M1042" s="43">
        <v>0</v>
      </c>
      <c r="N1042" s="1">
        <f t="shared" si="2008"/>
        <v>7</v>
      </c>
      <c r="O1042" s="1">
        <f t="shared" si="2009"/>
        <v>1750</v>
      </c>
      <c r="P1042" s="31"/>
      <c r="Q1042" s="31"/>
      <c r="R1042" s="31"/>
      <c r="S1042" s="31"/>
      <c r="T1042" s="31"/>
      <c r="U1042" s="31"/>
      <c r="V1042" s="31"/>
      <c r="W1042" s="31"/>
      <c r="X1042" s="31"/>
      <c r="Y1042" s="31"/>
      <c r="Z1042" s="31"/>
      <c r="AA1042" s="31"/>
      <c r="AB1042" s="31"/>
      <c r="AC1042" s="31"/>
      <c r="AD1042" s="31"/>
      <c r="AE1042" s="31"/>
      <c r="AF1042" s="31"/>
      <c r="AG1042" s="31"/>
    </row>
    <row r="1043" spans="1:33" s="32" customFormat="1" ht="15" customHeight="1">
      <c r="A1043" s="37">
        <v>43804</v>
      </c>
      <c r="B1043" s="20" t="s">
        <v>266</v>
      </c>
      <c r="C1043" s="20" t="s">
        <v>47</v>
      </c>
      <c r="D1043" s="20">
        <v>820</v>
      </c>
      <c r="E1043" s="38">
        <v>600</v>
      </c>
      <c r="F1043" s="20" t="s">
        <v>8</v>
      </c>
      <c r="G1043" s="43">
        <v>30</v>
      </c>
      <c r="H1043" s="43">
        <v>33.5</v>
      </c>
      <c r="I1043" s="43">
        <v>37</v>
      </c>
      <c r="J1043" s="43">
        <v>42</v>
      </c>
      <c r="K1043" s="1">
        <f t="shared" ref="K1043" si="2059">(IF(F1043="SELL",G1043-H1043,IF(F1043="BUY",H1043-G1043)))*E1043</f>
        <v>2100</v>
      </c>
      <c r="L1043" s="43">
        <f>E1043*3.5</f>
        <v>2100</v>
      </c>
      <c r="M1043" s="43">
        <f>E1043*5</f>
        <v>3000</v>
      </c>
      <c r="N1043" s="1">
        <f t="shared" si="2008"/>
        <v>12</v>
      </c>
      <c r="O1043" s="1">
        <f t="shared" si="2009"/>
        <v>7200</v>
      </c>
      <c r="P1043" s="31"/>
      <c r="Q1043" s="31"/>
      <c r="R1043" s="31"/>
      <c r="S1043" s="31"/>
      <c r="T1043" s="31"/>
      <c r="U1043" s="31"/>
      <c r="V1043" s="31"/>
      <c r="W1043" s="31"/>
      <c r="X1043" s="31"/>
      <c r="Y1043" s="31"/>
      <c r="Z1043" s="31"/>
      <c r="AA1043" s="31"/>
      <c r="AB1043" s="31"/>
      <c r="AC1043" s="31"/>
      <c r="AD1043" s="31"/>
      <c r="AE1043" s="31"/>
      <c r="AF1043" s="31"/>
      <c r="AG1043" s="31"/>
    </row>
    <row r="1044" spans="1:33" s="32" customFormat="1" ht="15" customHeight="1">
      <c r="A1044" s="37">
        <v>43804</v>
      </c>
      <c r="B1044" s="20" t="s">
        <v>406</v>
      </c>
      <c r="C1044" s="20" t="s">
        <v>47</v>
      </c>
      <c r="D1044" s="20">
        <v>10.7</v>
      </c>
      <c r="E1044" s="38">
        <v>1250</v>
      </c>
      <c r="F1044" s="20" t="s">
        <v>8</v>
      </c>
      <c r="G1044" s="43">
        <v>10.7</v>
      </c>
      <c r="H1044" s="43">
        <v>12.2</v>
      </c>
      <c r="I1044" s="43">
        <v>13.5</v>
      </c>
      <c r="J1044" s="43">
        <v>0</v>
      </c>
      <c r="K1044" s="1">
        <f t="shared" ref="K1044:K1045" si="2060">(IF(F1044="SELL",G1044-H1044,IF(F1044="BUY",H1044-G1044)))*E1044</f>
        <v>1875</v>
      </c>
      <c r="L1044" s="43">
        <f>E1044*1.3</f>
        <v>1625</v>
      </c>
      <c r="M1044" s="43">
        <v>0</v>
      </c>
      <c r="N1044" s="1">
        <f t="shared" si="2008"/>
        <v>2.8</v>
      </c>
      <c r="O1044" s="1">
        <f t="shared" si="2009"/>
        <v>3500</v>
      </c>
      <c r="P1044" s="31"/>
      <c r="Q1044" s="31"/>
      <c r="R1044" s="31"/>
      <c r="S1044" s="31"/>
      <c r="T1044" s="31"/>
      <c r="U1044" s="31"/>
      <c r="V1044" s="31"/>
      <c r="W1044" s="31"/>
      <c r="X1044" s="31"/>
      <c r="Y1044" s="31"/>
      <c r="Z1044" s="31"/>
      <c r="AA1044" s="31"/>
      <c r="AB1044" s="31"/>
      <c r="AC1044" s="31"/>
      <c r="AD1044" s="31"/>
      <c r="AE1044" s="31"/>
      <c r="AF1044" s="31"/>
      <c r="AG1044" s="31"/>
    </row>
    <row r="1045" spans="1:33" s="32" customFormat="1" ht="15" customHeight="1">
      <c r="A1045" s="37">
        <v>43803</v>
      </c>
      <c r="B1045" s="20" t="s">
        <v>190</v>
      </c>
      <c r="C1045" s="20" t="s">
        <v>47</v>
      </c>
      <c r="D1045" s="20">
        <v>1700</v>
      </c>
      <c r="E1045" s="38">
        <v>550</v>
      </c>
      <c r="F1045" s="20" t="s">
        <v>8</v>
      </c>
      <c r="G1045" s="43">
        <v>39</v>
      </c>
      <c r="H1045" s="43">
        <v>33</v>
      </c>
      <c r="I1045" s="43">
        <v>0</v>
      </c>
      <c r="J1045" s="43">
        <v>0</v>
      </c>
      <c r="K1045" s="1">
        <f t="shared" si="2060"/>
        <v>-3300</v>
      </c>
      <c r="L1045" s="43">
        <v>0</v>
      </c>
      <c r="M1045" s="43">
        <v>0</v>
      </c>
      <c r="N1045" s="1">
        <f t="shared" si="2008"/>
        <v>-6</v>
      </c>
      <c r="O1045" s="1">
        <f t="shared" si="2009"/>
        <v>-3300</v>
      </c>
      <c r="P1045" s="31"/>
      <c r="Q1045" s="31"/>
      <c r="R1045" s="31"/>
      <c r="S1045" s="31"/>
      <c r="T1045" s="31"/>
      <c r="U1045" s="31"/>
      <c r="V1045" s="31"/>
      <c r="W1045" s="31"/>
      <c r="X1045" s="31"/>
      <c r="Y1045" s="31"/>
      <c r="Z1045" s="31"/>
      <c r="AA1045" s="31"/>
      <c r="AB1045" s="31"/>
      <c r="AC1045" s="31"/>
      <c r="AD1045" s="31"/>
      <c r="AE1045" s="31"/>
      <c r="AF1045" s="31"/>
      <c r="AG1045" s="31"/>
    </row>
    <row r="1046" spans="1:33" s="32" customFormat="1" ht="15" customHeight="1">
      <c r="A1046" s="37">
        <v>43803</v>
      </c>
      <c r="B1046" s="20" t="s">
        <v>411</v>
      </c>
      <c r="C1046" s="20" t="s">
        <v>47</v>
      </c>
      <c r="D1046" s="20">
        <v>65</v>
      </c>
      <c r="E1046" s="38">
        <v>2200</v>
      </c>
      <c r="F1046" s="20" t="s">
        <v>8</v>
      </c>
      <c r="G1046" s="43">
        <v>5.7</v>
      </c>
      <c r="H1046" s="43">
        <v>6.1</v>
      </c>
      <c r="I1046" s="43">
        <v>0</v>
      </c>
      <c r="J1046" s="43">
        <v>0</v>
      </c>
      <c r="K1046" s="1">
        <f t="shared" ref="K1046" si="2061">(IF(F1046="SELL",G1046-H1046,IF(F1046="BUY",H1046-G1046)))*E1046</f>
        <v>879.99999999999886</v>
      </c>
      <c r="L1046" s="43">
        <v>0</v>
      </c>
      <c r="M1046" s="43">
        <v>0</v>
      </c>
      <c r="N1046" s="1">
        <f t="shared" si="2008"/>
        <v>0.39999999999999947</v>
      </c>
      <c r="O1046" s="1">
        <f t="shared" si="2009"/>
        <v>879.99999999999886</v>
      </c>
      <c r="P1046" s="31"/>
      <c r="Q1046" s="31"/>
      <c r="R1046" s="31"/>
      <c r="S1046" s="31"/>
      <c r="T1046" s="31"/>
      <c r="U1046" s="31"/>
      <c r="V1046" s="31"/>
      <c r="W1046" s="31"/>
      <c r="X1046" s="31"/>
      <c r="Y1046" s="31"/>
      <c r="Z1046" s="31"/>
      <c r="AA1046" s="31"/>
      <c r="AB1046" s="31"/>
      <c r="AC1046" s="31"/>
      <c r="AD1046" s="31"/>
      <c r="AE1046" s="31"/>
      <c r="AF1046" s="31"/>
      <c r="AG1046" s="31"/>
    </row>
    <row r="1047" spans="1:33" s="32" customFormat="1" ht="15" customHeight="1">
      <c r="A1047" s="37">
        <v>43802</v>
      </c>
      <c r="B1047" s="20" t="s">
        <v>461</v>
      </c>
      <c r="C1047" s="20" t="s">
        <v>47</v>
      </c>
      <c r="D1047" s="20">
        <v>3250</v>
      </c>
      <c r="E1047" s="38">
        <v>250</v>
      </c>
      <c r="F1047" s="20" t="s">
        <v>8</v>
      </c>
      <c r="G1047" s="43">
        <v>70</v>
      </c>
      <c r="H1047" s="43">
        <v>77</v>
      </c>
      <c r="I1047" s="43">
        <v>87</v>
      </c>
      <c r="J1047" s="43">
        <v>97</v>
      </c>
      <c r="K1047" s="1">
        <f t="shared" ref="K1047" si="2062">(IF(F1047="SELL",G1047-H1047,IF(F1047="BUY",H1047-G1047)))*E1047</f>
        <v>1750</v>
      </c>
      <c r="L1047" s="43">
        <f>E1047*10</f>
        <v>2500</v>
      </c>
      <c r="M1047" s="43">
        <f>E1047*10</f>
        <v>2500</v>
      </c>
      <c r="N1047" s="1">
        <f t="shared" si="2008"/>
        <v>27</v>
      </c>
      <c r="O1047" s="1">
        <f t="shared" si="2009"/>
        <v>6750</v>
      </c>
      <c r="P1047" s="31"/>
      <c r="Q1047" s="31"/>
      <c r="R1047" s="31"/>
      <c r="S1047" s="31"/>
      <c r="T1047" s="31"/>
      <c r="U1047" s="31"/>
      <c r="V1047" s="31"/>
      <c r="W1047" s="31"/>
      <c r="X1047" s="31"/>
      <c r="Y1047" s="31"/>
      <c r="Z1047" s="31"/>
      <c r="AA1047" s="31"/>
      <c r="AB1047" s="31"/>
      <c r="AC1047" s="31"/>
      <c r="AD1047" s="31"/>
      <c r="AE1047" s="31"/>
      <c r="AF1047" s="31"/>
      <c r="AG1047" s="31"/>
    </row>
    <row r="1048" spans="1:33" s="32" customFormat="1" ht="15" customHeight="1">
      <c r="A1048" s="37">
        <v>43802</v>
      </c>
      <c r="B1048" s="20" t="s">
        <v>26</v>
      </c>
      <c r="C1048" s="20" t="s">
        <v>46</v>
      </c>
      <c r="D1048" s="20">
        <v>400</v>
      </c>
      <c r="E1048" s="38">
        <v>1061</v>
      </c>
      <c r="F1048" s="20" t="s">
        <v>8</v>
      </c>
      <c r="G1048" s="43">
        <v>13</v>
      </c>
      <c r="H1048" s="43">
        <v>16</v>
      </c>
      <c r="I1048" s="43">
        <v>0</v>
      </c>
      <c r="J1048" s="43">
        <v>0</v>
      </c>
      <c r="K1048" s="1">
        <f t="shared" ref="K1048" si="2063">(IF(F1048="SELL",G1048-H1048,IF(F1048="BUY",H1048-G1048)))*E1048</f>
        <v>3183</v>
      </c>
      <c r="L1048" s="43">
        <v>0</v>
      </c>
      <c r="M1048" s="43">
        <v>0</v>
      </c>
      <c r="N1048" s="1">
        <f t="shared" si="2008"/>
        <v>3</v>
      </c>
      <c r="O1048" s="1">
        <f t="shared" si="2009"/>
        <v>3183</v>
      </c>
      <c r="P1048" s="31"/>
      <c r="Q1048" s="31"/>
      <c r="R1048" s="31"/>
      <c r="S1048" s="31"/>
      <c r="T1048" s="31"/>
      <c r="U1048" s="31"/>
      <c r="V1048" s="31"/>
      <c r="W1048" s="31"/>
      <c r="X1048" s="31"/>
      <c r="Y1048" s="31"/>
      <c r="Z1048" s="31"/>
      <c r="AA1048" s="31"/>
      <c r="AB1048" s="31"/>
      <c r="AC1048" s="31"/>
      <c r="AD1048" s="31"/>
      <c r="AE1048" s="31"/>
      <c r="AF1048" s="31"/>
      <c r="AG1048" s="31"/>
    </row>
    <row r="1049" spans="1:33" s="32" customFormat="1" ht="15" customHeight="1">
      <c r="A1049" s="37">
        <v>43801</v>
      </c>
      <c r="B1049" s="20" t="s">
        <v>15</v>
      </c>
      <c r="C1049" s="20" t="s">
        <v>47</v>
      </c>
      <c r="D1049" s="20">
        <v>480</v>
      </c>
      <c r="E1049" s="38">
        <v>1100</v>
      </c>
      <c r="F1049" s="20" t="s">
        <v>8</v>
      </c>
      <c r="G1049" s="43">
        <v>14</v>
      </c>
      <c r="H1049" s="43">
        <v>11</v>
      </c>
      <c r="I1049" s="43">
        <v>0</v>
      </c>
      <c r="J1049" s="43">
        <v>0</v>
      </c>
      <c r="K1049" s="1">
        <f t="shared" ref="K1049" si="2064">(IF(F1049="SELL",G1049-H1049,IF(F1049="BUY",H1049-G1049)))*E1049</f>
        <v>-3300</v>
      </c>
      <c r="L1049" s="43">
        <v>0</v>
      </c>
      <c r="M1049" s="43">
        <v>0</v>
      </c>
      <c r="N1049" s="1">
        <f t="shared" si="2008"/>
        <v>-3</v>
      </c>
      <c r="O1049" s="1">
        <f t="shared" si="2009"/>
        <v>-3300</v>
      </c>
      <c r="P1049" s="31"/>
      <c r="Q1049" s="31"/>
      <c r="R1049" s="31"/>
      <c r="S1049" s="31"/>
      <c r="T1049" s="31"/>
      <c r="U1049" s="31"/>
      <c r="V1049" s="31"/>
      <c r="W1049" s="31"/>
      <c r="X1049" s="31"/>
      <c r="Y1049" s="31"/>
      <c r="Z1049" s="31"/>
      <c r="AA1049" s="31"/>
      <c r="AB1049" s="31"/>
      <c r="AC1049" s="31"/>
      <c r="AD1049" s="31"/>
      <c r="AE1049" s="31"/>
      <c r="AF1049" s="31"/>
      <c r="AG1049" s="31"/>
    </row>
    <row r="1050" spans="1:33" s="32" customFormat="1" ht="15" customHeight="1">
      <c r="A1050" s="37">
        <v>43801</v>
      </c>
      <c r="B1050" s="20" t="s">
        <v>413</v>
      </c>
      <c r="C1050" s="20" t="s">
        <v>47</v>
      </c>
      <c r="D1050" s="20">
        <v>350</v>
      </c>
      <c r="E1050" s="38">
        <v>800</v>
      </c>
      <c r="F1050" s="20" t="s">
        <v>8</v>
      </c>
      <c r="G1050" s="43">
        <v>19.5</v>
      </c>
      <c r="H1050" s="43">
        <v>22</v>
      </c>
      <c r="I1050" s="43">
        <v>0</v>
      </c>
      <c r="J1050" s="43">
        <v>0</v>
      </c>
      <c r="K1050" s="1">
        <f t="shared" ref="K1050" si="2065">(IF(F1050="SELL",G1050-H1050,IF(F1050="BUY",H1050-G1050)))*E1050</f>
        <v>2000</v>
      </c>
      <c r="L1050" s="43">
        <v>0</v>
      </c>
      <c r="M1050" s="43">
        <v>0</v>
      </c>
      <c r="N1050" s="1">
        <f t="shared" si="2008"/>
        <v>2.5</v>
      </c>
      <c r="O1050" s="1">
        <f t="shared" si="2009"/>
        <v>2000</v>
      </c>
      <c r="P1050" s="31"/>
      <c r="Q1050" s="31"/>
      <c r="R1050" s="31"/>
      <c r="S1050" s="31"/>
      <c r="T1050" s="31"/>
      <c r="U1050" s="31"/>
      <c r="V1050" s="31"/>
      <c r="W1050" s="31"/>
      <c r="X1050" s="31"/>
      <c r="Y1050" s="31"/>
      <c r="Z1050" s="31"/>
      <c r="AA1050" s="31"/>
      <c r="AB1050" s="31"/>
      <c r="AC1050" s="31"/>
      <c r="AD1050" s="31"/>
      <c r="AE1050" s="31"/>
      <c r="AF1050" s="31"/>
      <c r="AG1050" s="31"/>
    </row>
    <row r="1051" spans="1:33" s="32" customFormat="1" ht="15" customHeight="1">
      <c r="A1051" s="37">
        <v>43798</v>
      </c>
      <c r="B1051" s="20" t="s">
        <v>16</v>
      </c>
      <c r="C1051" s="20" t="s">
        <v>47</v>
      </c>
      <c r="D1051" s="20">
        <v>220</v>
      </c>
      <c r="E1051" s="38">
        <v>2500</v>
      </c>
      <c r="F1051" s="20" t="s">
        <v>8</v>
      </c>
      <c r="G1051" s="43">
        <v>15</v>
      </c>
      <c r="H1051" s="43">
        <v>16</v>
      </c>
      <c r="I1051" s="43">
        <v>18</v>
      </c>
      <c r="J1051" s="43">
        <v>19</v>
      </c>
      <c r="K1051" s="1">
        <f t="shared" ref="K1051" si="2066">(IF(F1051="SELL",G1051-H1051,IF(F1051="BUY",H1051-G1051)))*E1051</f>
        <v>2500</v>
      </c>
      <c r="L1051" s="43">
        <f>E1051*2</f>
        <v>5000</v>
      </c>
      <c r="M1051" s="43">
        <f>E1051*1</f>
        <v>2500</v>
      </c>
      <c r="N1051" s="1">
        <f t="shared" si="2008"/>
        <v>4</v>
      </c>
      <c r="O1051" s="1">
        <f t="shared" si="2009"/>
        <v>10000</v>
      </c>
      <c r="P1051" s="31"/>
      <c r="Q1051" s="31"/>
      <c r="R1051" s="31"/>
      <c r="S1051" s="31"/>
      <c r="T1051" s="31"/>
      <c r="U1051" s="31"/>
      <c r="V1051" s="31"/>
      <c r="W1051" s="31"/>
      <c r="X1051" s="31"/>
      <c r="Y1051" s="31"/>
      <c r="Z1051" s="31"/>
      <c r="AA1051" s="31"/>
      <c r="AB1051" s="31"/>
      <c r="AC1051" s="31"/>
      <c r="AD1051" s="31"/>
      <c r="AE1051" s="31"/>
      <c r="AF1051" s="31"/>
      <c r="AG1051" s="31"/>
    </row>
    <row r="1052" spans="1:33" s="32" customFormat="1" ht="15" customHeight="1">
      <c r="A1052" s="37">
        <v>43798</v>
      </c>
      <c r="B1052" s="20" t="s">
        <v>116</v>
      </c>
      <c r="C1052" s="20" t="s">
        <v>47</v>
      </c>
      <c r="D1052" s="20">
        <v>220</v>
      </c>
      <c r="E1052" s="38">
        <v>4000</v>
      </c>
      <c r="F1052" s="20" t="s">
        <v>8</v>
      </c>
      <c r="G1052" s="43">
        <v>12</v>
      </c>
      <c r="H1052" s="43">
        <v>13</v>
      </c>
      <c r="I1052" s="43">
        <v>14.5</v>
      </c>
      <c r="J1052" s="43">
        <v>0</v>
      </c>
      <c r="K1052" s="1">
        <f t="shared" ref="K1052" si="2067">(IF(F1052="SELL",G1052-H1052,IF(F1052="BUY",H1052-G1052)))*E1052</f>
        <v>4000</v>
      </c>
      <c r="L1052" s="43">
        <f>E1052*1.5</f>
        <v>6000</v>
      </c>
      <c r="M1052" s="43">
        <v>0</v>
      </c>
      <c r="N1052" s="1">
        <f t="shared" si="2008"/>
        <v>2.5</v>
      </c>
      <c r="O1052" s="1">
        <f t="shared" si="2009"/>
        <v>10000</v>
      </c>
      <c r="P1052" s="31"/>
      <c r="Q1052" s="31"/>
      <c r="R1052" s="31"/>
      <c r="S1052" s="31"/>
      <c r="T1052" s="31"/>
      <c r="U1052" s="31"/>
      <c r="V1052" s="31"/>
      <c r="W1052" s="31"/>
      <c r="X1052" s="31"/>
      <c r="Y1052" s="31"/>
      <c r="Z1052" s="31"/>
      <c r="AA1052" s="31"/>
      <c r="AB1052" s="31"/>
      <c r="AC1052" s="31"/>
      <c r="AD1052" s="31"/>
      <c r="AE1052" s="31"/>
      <c r="AF1052" s="31"/>
      <c r="AG1052" s="31"/>
    </row>
    <row r="1053" spans="1:33" s="32" customFormat="1" ht="15" customHeight="1">
      <c r="A1053" s="37">
        <v>43798</v>
      </c>
      <c r="B1053" s="20" t="s">
        <v>399</v>
      </c>
      <c r="C1053" s="20" t="s">
        <v>47</v>
      </c>
      <c r="D1053" s="20">
        <v>320</v>
      </c>
      <c r="E1053" s="38">
        <v>2700</v>
      </c>
      <c r="F1053" s="20" t="s">
        <v>8</v>
      </c>
      <c r="G1053" s="43">
        <v>12</v>
      </c>
      <c r="H1053" s="43">
        <v>10.5</v>
      </c>
      <c r="I1053" s="43">
        <v>0</v>
      </c>
      <c r="J1053" s="43">
        <v>0</v>
      </c>
      <c r="K1053" s="1">
        <f t="shared" ref="K1053" si="2068">(IF(F1053="SELL",G1053-H1053,IF(F1053="BUY",H1053-G1053)))*E1053</f>
        <v>-4050</v>
      </c>
      <c r="L1053" s="43">
        <v>0</v>
      </c>
      <c r="M1053" s="43">
        <v>0</v>
      </c>
      <c r="N1053" s="1">
        <f t="shared" si="2008"/>
        <v>-1.5</v>
      </c>
      <c r="O1053" s="1">
        <f t="shared" si="2009"/>
        <v>-4050</v>
      </c>
      <c r="P1053" s="31"/>
      <c r="Q1053" s="31"/>
      <c r="R1053" s="31"/>
      <c r="S1053" s="31"/>
      <c r="T1053" s="31"/>
      <c r="U1053" s="31"/>
      <c r="V1053" s="31"/>
      <c r="W1053" s="31"/>
      <c r="X1053" s="31"/>
      <c r="Y1053" s="31"/>
      <c r="Z1053" s="31"/>
      <c r="AA1053" s="31"/>
      <c r="AB1053" s="31"/>
      <c r="AC1053" s="31"/>
      <c r="AD1053" s="31"/>
      <c r="AE1053" s="31"/>
      <c r="AF1053" s="31"/>
      <c r="AG1053" s="31"/>
    </row>
    <row r="1054" spans="1:33" s="32" customFormat="1" ht="15" customHeight="1">
      <c r="A1054" s="37">
        <v>43797</v>
      </c>
      <c r="B1054" s="20" t="s">
        <v>27</v>
      </c>
      <c r="C1054" s="20" t="s">
        <v>47</v>
      </c>
      <c r="D1054" s="20">
        <v>200</v>
      </c>
      <c r="E1054" s="38">
        <v>2200</v>
      </c>
      <c r="F1054" s="20" t="s">
        <v>8</v>
      </c>
      <c r="G1054" s="43">
        <v>2.5</v>
      </c>
      <c r="H1054" s="43">
        <v>3.5</v>
      </c>
      <c r="I1054" s="43">
        <v>5</v>
      </c>
      <c r="J1054" s="43">
        <v>6</v>
      </c>
      <c r="K1054" s="1">
        <f t="shared" ref="K1054" si="2069">(IF(F1054="SELL",G1054-H1054,IF(F1054="BUY",H1054-G1054)))*E1054</f>
        <v>2200</v>
      </c>
      <c r="L1054" s="43">
        <f>E1054*1.5</f>
        <v>3300</v>
      </c>
      <c r="M1054" s="43">
        <f>E1054*1</f>
        <v>2200</v>
      </c>
      <c r="N1054" s="1">
        <f t="shared" si="2008"/>
        <v>3.5</v>
      </c>
      <c r="O1054" s="1">
        <f t="shared" si="2009"/>
        <v>7700</v>
      </c>
      <c r="P1054" s="31"/>
      <c r="Q1054" s="31"/>
      <c r="R1054" s="31"/>
      <c r="S1054" s="31"/>
      <c r="T1054" s="31"/>
      <c r="U1054" s="31"/>
      <c r="V1054" s="31"/>
      <c r="W1054" s="31"/>
      <c r="X1054" s="31"/>
      <c r="Y1054" s="31"/>
      <c r="Z1054" s="31"/>
      <c r="AA1054" s="31"/>
      <c r="AB1054" s="31"/>
      <c r="AC1054" s="31"/>
      <c r="AD1054" s="31"/>
      <c r="AE1054" s="31"/>
      <c r="AF1054" s="31"/>
      <c r="AG1054" s="31"/>
    </row>
    <row r="1055" spans="1:33" s="32" customFormat="1" ht="15" customHeight="1">
      <c r="A1055" s="37">
        <v>43797</v>
      </c>
      <c r="B1055" s="20" t="s">
        <v>28</v>
      </c>
      <c r="C1055" s="20" t="s">
        <v>47</v>
      </c>
      <c r="D1055" s="20">
        <v>440</v>
      </c>
      <c r="E1055" s="38">
        <v>1851</v>
      </c>
      <c r="F1055" s="20" t="s">
        <v>8</v>
      </c>
      <c r="G1055" s="43">
        <v>4</v>
      </c>
      <c r="H1055" s="43">
        <v>5.3</v>
      </c>
      <c r="I1055" s="43">
        <v>0</v>
      </c>
      <c r="J1055" s="43">
        <v>0</v>
      </c>
      <c r="K1055" s="1">
        <f t="shared" ref="K1055" si="2070">(IF(F1055="SELL",G1055-H1055,IF(F1055="BUY",H1055-G1055)))*E1055</f>
        <v>2406.2999999999997</v>
      </c>
      <c r="L1055" s="43">
        <v>0</v>
      </c>
      <c r="M1055" s="43">
        <v>0</v>
      </c>
      <c r="N1055" s="1">
        <f t="shared" si="2008"/>
        <v>1.2999999999999998</v>
      </c>
      <c r="O1055" s="1">
        <f t="shared" si="2009"/>
        <v>2406.2999999999997</v>
      </c>
      <c r="P1055" s="31"/>
      <c r="Q1055" s="31"/>
      <c r="R1055" s="31"/>
      <c r="S1055" s="31"/>
      <c r="T1055" s="31"/>
      <c r="U1055" s="31"/>
      <c r="V1055" s="31"/>
      <c r="W1055" s="31"/>
      <c r="X1055" s="31"/>
      <c r="Y1055" s="31"/>
      <c r="Z1055" s="31"/>
      <c r="AA1055" s="31"/>
      <c r="AB1055" s="31"/>
      <c r="AC1055" s="31"/>
      <c r="AD1055" s="31"/>
      <c r="AE1055" s="31"/>
      <c r="AF1055" s="31"/>
      <c r="AG1055" s="31"/>
    </row>
    <row r="1056" spans="1:33" s="32" customFormat="1" ht="15" customHeight="1">
      <c r="A1056" s="37">
        <v>43796</v>
      </c>
      <c r="B1056" s="20" t="s">
        <v>417</v>
      </c>
      <c r="C1056" s="20" t="s">
        <v>47</v>
      </c>
      <c r="D1056" s="20">
        <v>350</v>
      </c>
      <c r="E1056" s="38">
        <v>1000</v>
      </c>
      <c r="F1056" s="20" t="s">
        <v>8</v>
      </c>
      <c r="G1056" s="43">
        <v>8</v>
      </c>
      <c r="H1056" s="43">
        <v>9.9499999999999993</v>
      </c>
      <c r="I1056" s="43">
        <v>0</v>
      </c>
      <c r="J1056" s="43">
        <v>0</v>
      </c>
      <c r="K1056" s="1">
        <f t="shared" ref="K1056" si="2071">(IF(F1056="SELL",G1056-H1056,IF(F1056="BUY",H1056-G1056)))*E1056</f>
        <v>1949.9999999999993</v>
      </c>
      <c r="L1056" s="43">
        <v>0</v>
      </c>
      <c r="M1056" s="43">
        <v>0</v>
      </c>
      <c r="N1056" s="1">
        <f t="shared" ref="N1056:N1119" si="2072">(L1056+K1056+M1056)/E1056</f>
        <v>1.9499999999999993</v>
      </c>
      <c r="O1056" s="1">
        <f t="shared" ref="O1056:O1119" si="2073">N1056*E1056</f>
        <v>1949.9999999999993</v>
      </c>
      <c r="P1056" s="31"/>
      <c r="Q1056" s="31"/>
      <c r="R1056" s="31"/>
      <c r="S1056" s="31"/>
      <c r="T1056" s="31"/>
      <c r="U1056" s="31"/>
      <c r="V1056" s="31"/>
      <c r="W1056" s="31"/>
      <c r="X1056" s="31"/>
      <c r="Y1056" s="31"/>
      <c r="Z1056" s="31"/>
      <c r="AA1056" s="31"/>
      <c r="AB1056" s="31"/>
      <c r="AC1056" s="31"/>
      <c r="AD1056" s="31"/>
      <c r="AE1056" s="31"/>
      <c r="AF1056" s="31"/>
      <c r="AG1056" s="31"/>
    </row>
    <row r="1057" spans="1:33" s="32" customFormat="1" ht="15" customHeight="1">
      <c r="A1057" s="37">
        <v>43796</v>
      </c>
      <c r="B1057" s="20" t="s">
        <v>456</v>
      </c>
      <c r="C1057" s="20" t="s">
        <v>47</v>
      </c>
      <c r="D1057" s="20">
        <v>1600</v>
      </c>
      <c r="E1057" s="38">
        <v>400</v>
      </c>
      <c r="F1057" s="20" t="s">
        <v>8</v>
      </c>
      <c r="G1057" s="43">
        <v>23</v>
      </c>
      <c r="H1057" s="43">
        <v>24</v>
      </c>
      <c r="I1057" s="43">
        <v>0</v>
      </c>
      <c r="J1057" s="43">
        <v>0</v>
      </c>
      <c r="K1057" s="1">
        <f t="shared" ref="K1057" si="2074">(IF(F1057="SELL",G1057-H1057,IF(F1057="BUY",H1057-G1057)))*E1057</f>
        <v>400</v>
      </c>
      <c r="L1057" s="43">
        <v>0</v>
      </c>
      <c r="M1057" s="43">
        <v>0</v>
      </c>
      <c r="N1057" s="1">
        <f t="shared" si="2072"/>
        <v>1</v>
      </c>
      <c r="O1057" s="1">
        <f t="shared" si="2073"/>
        <v>400</v>
      </c>
      <c r="P1057" s="31"/>
      <c r="Q1057" s="31"/>
      <c r="R1057" s="31"/>
      <c r="S1057" s="31"/>
      <c r="T1057" s="31"/>
      <c r="U1057" s="31"/>
      <c r="V1057" s="31"/>
      <c r="W1057" s="31"/>
      <c r="X1057" s="31"/>
      <c r="Y1057" s="31"/>
      <c r="Z1057" s="31"/>
      <c r="AA1057" s="31"/>
      <c r="AB1057" s="31"/>
      <c r="AC1057" s="31"/>
      <c r="AD1057" s="31"/>
      <c r="AE1057" s="31"/>
      <c r="AF1057" s="31"/>
      <c r="AG1057" s="31"/>
    </row>
    <row r="1058" spans="1:33" s="32" customFormat="1" ht="15" customHeight="1">
      <c r="A1058" s="37">
        <v>43796</v>
      </c>
      <c r="B1058" s="20" t="s">
        <v>94</v>
      </c>
      <c r="C1058" s="20" t="s">
        <v>46</v>
      </c>
      <c r="D1058" s="20">
        <v>1750</v>
      </c>
      <c r="E1058" s="38">
        <v>302</v>
      </c>
      <c r="F1058" s="20" t="s">
        <v>8</v>
      </c>
      <c r="G1058" s="43">
        <v>19</v>
      </c>
      <c r="H1058" s="43">
        <v>10</v>
      </c>
      <c r="I1058" s="43">
        <v>0</v>
      </c>
      <c r="J1058" s="43">
        <v>0</v>
      </c>
      <c r="K1058" s="1">
        <f t="shared" ref="K1058" si="2075">(IF(F1058="SELL",G1058-H1058,IF(F1058="BUY",H1058-G1058)))*E1058</f>
        <v>-2718</v>
      </c>
      <c r="L1058" s="43">
        <v>0</v>
      </c>
      <c r="M1058" s="43">
        <v>0</v>
      </c>
      <c r="N1058" s="1">
        <f t="shared" si="2072"/>
        <v>-9</v>
      </c>
      <c r="O1058" s="1">
        <f t="shared" si="2073"/>
        <v>-2718</v>
      </c>
      <c r="P1058" s="31"/>
      <c r="Q1058" s="31"/>
      <c r="R1058" s="31"/>
      <c r="S1058" s="31"/>
      <c r="T1058" s="31"/>
      <c r="U1058" s="31"/>
      <c r="V1058" s="31"/>
      <c r="W1058" s="31"/>
      <c r="X1058" s="31"/>
      <c r="Y1058" s="31"/>
      <c r="Z1058" s="31"/>
      <c r="AA1058" s="31"/>
      <c r="AB1058" s="31"/>
      <c r="AC1058" s="31"/>
      <c r="AD1058" s="31"/>
      <c r="AE1058" s="31"/>
      <c r="AF1058" s="31"/>
      <c r="AG1058" s="31"/>
    </row>
    <row r="1059" spans="1:33" s="32" customFormat="1" ht="15" customHeight="1">
      <c r="A1059" s="37">
        <v>43795</v>
      </c>
      <c r="B1059" s="20" t="s">
        <v>466</v>
      </c>
      <c r="C1059" s="20" t="s">
        <v>47</v>
      </c>
      <c r="D1059" s="20">
        <v>485</v>
      </c>
      <c r="E1059" s="38">
        <v>1375</v>
      </c>
      <c r="F1059" s="20" t="s">
        <v>8</v>
      </c>
      <c r="G1059" s="43">
        <v>22</v>
      </c>
      <c r="H1059" s="43">
        <v>24</v>
      </c>
      <c r="I1059" s="43">
        <v>0</v>
      </c>
      <c r="J1059" s="43">
        <v>0</v>
      </c>
      <c r="K1059" s="1">
        <f t="shared" ref="K1059" si="2076">(IF(F1059="SELL",G1059-H1059,IF(F1059="BUY",H1059-G1059)))*E1059</f>
        <v>2750</v>
      </c>
      <c r="L1059" s="43">
        <v>0</v>
      </c>
      <c r="M1059" s="43">
        <v>0</v>
      </c>
      <c r="N1059" s="1">
        <f t="shared" si="2072"/>
        <v>2</v>
      </c>
      <c r="O1059" s="1">
        <f t="shared" si="2073"/>
        <v>2750</v>
      </c>
      <c r="P1059" s="31"/>
      <c r="Q1059" s="31"/>
      <c r="R1059" s="31"/>
      <c r="S1059" s="31"/>
      <c r="T1059" s="31"/>
      <c r="U1059" s="31"/>
      <c r="V1059" s="31"/>
      <c r="W1059" s="31"/>
      <c r="X1059" s="31"/>
      <c r="Y1059" s="31"/>
      <c r="Z1059" s="31"/>
      <c r="AA1059" s="31"/>
      <c r="AB1059" s="31"/>
      <c r="AC1059" s="31"/>
      <c r="AD1059" s="31"/>
      <c r="AE1059" s="31"/>
      <c r="AF1059" s="31"/>
      <c r="AG1059" s="31"/>
    </row>
    <row r="1060" spans="1:33" s="32" customFormat="1" ht="15" customHeight="1">
      <c r="A1060" s="37">
        <v>43795</v>
      </c>
      <c r="B1060" s="20" t="s">
        <v>386</v>
      </c>
      <c r="C1060" s="20" t="s">
        <v>47</v>
      </c>
      <c r="D1060" s="20">
        <v>1180</v>
      </c>
      <c r="E1060" s="38">
        <v>750</v>
      </c>
      <c r="F1060" s="20" t="s">
        <v>8</v>
      </c>
      <c r="G1060" s="43">
        <v>10</v>
      </c>
      <c r="H1060" s="43">
        <v>13</v>
      </c>
      <c r="I1060" s="43">
        <v>0</v>
      </c>
      <c r="J1060" s="43">
        <v>0</v>
      </c>
      <c r="K1060" s="1">
        <f t="shared" ref="K1060" si="2077">(IF(F1060="SELL",G1060-H1060,IF(F1060="BUY",H1060-G1060)))*E1060</f>
        <v>2250</v>
      </c>
      <c r="L1060" s="43">
        <v>0</v>
      </c>
      <c r="M1060" s="43">
        <v>0</v>
      </c>
      <c r="N1060" s="1">
        <f t="shared" si="2072"/>
        <v>3</v>
      </c>
      <c r="O1060" s="1">
        <f t="shared" si="2073"/>
        <v>2250</v>
      </c>
      <c r="P1060" s="31"/>
      <c r="Q1060" s="31"/>
      <c r="R1060" s="31"/>
      <c r="S1060" s="31"/>
      <c r="T1060" s="31"/>
      <c r="U1060" s="31"/>
      <c r="V1060" s="31"/>
      <c r="W1060" s="31"/>
      <c r="X1060" s="31"/>
      <c r="Y1060" s="31"/>
      <c r="Z1060" s="31"/>
      <c r="AA1060" s="31"/>
      <c r="AB1060" s="31"/>
      <c r="AC1060" s="31"/>
      <c r="AD1060" s="31"/>
      <c r="AE1060" s="31"/>
      <c r="AF1060" s="31"/>
      <c r="AG1060" s="31"/>
    </row>
    <row r="1061" spans="1:33" s="32" customFormat="1" ht="15" customHeight="1">
      <c r="A1061" s="37">
        <v>43795</v>
      </c>
      <c r="B1061" s="20" t="s">
        <v>72</v>
      </c>
      <c r="C1061" s="20" t="s">
        <v>425</v>
      </c>
      <c r="D1061" s="20">
        <v>490</v>
      </c>
      <c r="E1061" s="38">
        <v>1800</v>
      </c>
      <c r="F1061" s="20" t="s">
        <v>8</v>
      </c>
      <c r="G1061" s="43">
        <v>4.2</v>
      </c>
      <c r="H1061" s="43">
        <v>4.2</v>
      </c>
      <c r="I1061" s="43">
        <v>0</v>
      </c>
      <c r="J1061" s="43">
        <v>0</v>
      </c>
      <c r="K1061" s="1">
        <f t="shared" ref="K1061" si="2078">(IF(F1061="SELL",G1061-H1061,IF(F1061="BUY",H1061-G1061)))*E1061</f>
        <v>0</v>
      </c>
      <c r="L1061" s="43">
        <v>0</v>
      </c>
      <c r="M1061" s="43">
        <v>0</v>
      </c>
      <c r="N1061" s="1">
        <f t="shared" si="2072"/>
        <v>0</v>
      </c>
      <c r="O1061" s="1">
        <f t="shared" si="2073"/>
        <v>0</v>
      </c>
      <c r="P1061" s="31"/>
      <c r="Q1061" s="31"/>
      <c r="R1061" s="31"/>
      <c r="S1061" s="31"/>
      <c r="T1061" s="31"/>
      <c r="U1061" s="31"/>
      <c r="V1061" s="31"/>
      <c r="W1061" s="31"/>
      <c r="X1061" s="31"/>
      <c r="Y1061" s="31"/>
      <c r="Z1061" s="31"/>
      <c r="AA1061" s="31"/>
      <c r="AB1061" s="31"/>
      <c r="AC1061" s="31"/>
      <c r="AD1061" s="31"/>
      <c r="AE1061" s="31"/>
      <c r="AF1061" s="31"/>
      <c r="AG1061" s="31"/>
    </row>
    <row r="1062" spans="1:33" s="32" customFormat="1" ht="15" customHeight="1">
      <c r="A1062" s="37">
        <v>43794</v>
      </c>
      <c r="B1062" s="20" t="s">
        <v>60</v>
      </c>
      <c r="C1062" s="20" t="s">
        <v>47</v>
      </c>
      <c r="D1062" s="20">
        <v>142.5</v>
      </c>
      <c r="E1062" s="38">
        <v>3000</v>
      </c>
      <c r="F1062" s="20" t="s">
        <v>8</v>
      </c>
      <c r="G1062" s="43">
        <v>4.5</v>
      </c>
      <c r="H1062" s="43">
        <v>5.3</v>
      </c>
      <c r="I1062" s="43">
        <v>0</v>
      </c>
      <c r="J1062" s="43">
        <v>0</v>
      </c>
      <c r="K1062" s="1">
        <f t="shared" ref="K1062" si="2079">(IF(F1062="SELL",G1062-H1062,IF(F1062="BUY",H1062-G1062)))*E1062</f>
        <v>2399.9999999999995</v>
      </c>
      <c r="L1062" s="43">
        <v>0</v>
      </c>
      <c r="M1062" s="43">
        <v>0</v>
      </c>
      <c r="N1062" s="1">
        <f t="shared" si="2072"/>
        <v>0.79999999999999982</v>
      </c>
      <c r="O1062" s="1">
        <f t="shared" si="2073"/>
        <v>2399.9999999999995</v>
      </c>
      <c r="P1062" s="31"/>
      <c r="Q1062" s="31"/>
      <c r="R1062" s="31"/>
      <c r="S1062" s="31"/>
      <c r="T1062" s="31"/>
      <c r="U1062" s="31"/>
      <c r="V1062" s="31"/>
      <c r="W1062" s="31"/>
      <c r="X1062" s="31"/>
      <c r="Y1062" s="31"/>
      <c r="Z1062" s="31"/>
      <c r="AA1062" s="31"/>
      <c r="AB1062" s="31"/>
      <c r="AC1062" s="31"/>
      <c r="AD1062" s="31"/>
      <c r="AE1062" s="31"/>
      <c r="AF1062" s="31"/>
      <c r="AG1062" s="31"/>
    </row>
    <row r="1063" spans="1:33" s="32" customFormat="1" ht="15" customHeight="1">
      <c r="A1063" s="37">
        <v>43794</v>
      </c>
      <c r="B1063" s="20" t="s">
        <v>414</v>
      </c>
      <c r="C1063" s="20" t="s">
        <v>46</v>
      </c>
      <c r="D1063" s="20">
        <v>70</v>
      </c>
      <c r="E1063" s="38">
        <v>2200</v>
      </c>
      <c r="F1063" s="20" t="s">
        <v>8</v>
      </c>
      <c r="G1063" s="43">
        <v>7.7</v>
      </c>
      <c r="H1063" s="43">
        <v>8.6999999999999993</v>
      </c>
      <c r="I1063" s="43">
        <v>9.6</v>
      </c>
      <c r="J1063" s="43">
        <v>0</v>
      </c>
      <c r="K1063" s="1">
        <f t="shared" ref="K1063" si="2080">(IF(F1063="SELL",G1063-H1063,IF(F1063="BUY",H1063-G1063)))*E1063</f>
        <v>2199.9999999999982</v>
      </c>
      <c r="L1063" s="43">
        <f>E1063*0.9</f>
        <v>1980</v>
      </c>
      <c r="M1063" s="43">
        <v>0</v>
      </c>
      <c r="N1063" s="1">
        <f t="shared" si="2072"/>
        <v>1.8999999999999992</v>
      </c>
      <c r="O1063" s="1">
        <f t="shared" si="2073"/>
        <v>4179.9999999999982</v>
      </c>
      <c r="P1063" s="31"/>
      <c r="Q1063" s="31"/>
      <c r="R1063" s="31"/>
      <c r="S1063" s="31"/>
      <c r="T1063" s="31"/>
      <c r="U1063" s="31"/>
      <c r="V1063" s="31"/>
      <c r="W1063" s="31"/>
      <c r="X1063" s="31"/>
      <c r="Y1063" s="31"/>
      <c r="Z1063" s="31"/>
      <c r="AA1063" s="31"/>
      <c r="AB1063" s="31"/>
      <c r="AC1063" s="31"/>
      <c r="AD1063" s="31"/>
      <c r="AE1063" s="31"/>
      <c r="AF1063" s="31"/>
      <c r="AG1063" s="31"/>
    </row>
    <row r="1064" spans="1:33" s="32" customFormat="1" ht="15" customHeight="1">
      <c r="A1064" s="37">
        <v>43794</v>
      </c>
      <c r="B1064" s="20" t="s">
        <v>468</v>
      </c>
      <c r="C1064" s="20" t="s">
        <v>47</v>
      </c>
      <c r="D1064" s="20">
        <v>2220</v>
      </c>
      <c r="E1064" s="38">
        <v>250</v>
      </c>
      <c r="F1064" s="20" t="s">
        <v>8</v>
      </c>
      <c r="G1064" s="43">
        <v>45</v>
      </c>
      <c r="H1064" s="43">
        <v>55</v>
      </c>
      <c r="I1064" s="43">
        <v>65</v>
      </c>
      <c r="J1064" s="43">
        <v>75</v>
      </c>
      <c r="K1064" s="1">
        <f t="shared" ref="K1064" si="2081">(IF(F1064="SELL",G1064-H1064,IF(F1064="BUY",H1064-G1064)))*E1064</f>
        <v>2500</v>
      </c>
      <c r="L1064" s="43">
        <f>E1064*10</f>
        <v>2500</v>
      </c>
      <c r="M1064" s="43">
        <f>E1064*10</f>
        <v>2500</v>
      </c>
      <c r="N1064" s="1">
        <f t="shared" si="2072"/>
        <v>30</v>
      </c>
      <c r="O1064" s="1">
        <f t="shared" si="2073"/>
        <v>7500</v>
      </c>
      <c r="P1064" s="31"/>
      <c r="Q1064" s="31"/>
      <c r="R1064" s="31"/>
      <c r="S1064" s="31"/>
      <c r="T1064" s="31"/>
      <c r="U1064" s="31"/>
      <c r="V1064" s="31"/>
      <c r="W1064" s="31"/>
      <c r="X1064" s="31"/>
      <c r="Y1064" s="31"/>
      <c r="Z1064" s="31"/>
      <c r="AA1064" s="31"/>
      <c r="AB1064" s="31"/>
      <c r="AC1064" s="31"/>
      <c r="AD1064" s="31"/>
      <c r="AE1064" s="31"/>
      <c r="AF1064" s="31"/>
      <c r="AG1064" s="31"/>
    </row>
    <row r="1065" spans="1:33" s="32" customFormat="1" ht="15" customHeight="1">
      <c r="A1065" s="37">
        <v>43791</v>
      </c>
      <c r="B1065" s="20" t="s">
        <v>24</v>
      </c>
      <c r="C1065" s="20" t="s">
        <v>47</v>
      </c>
      <c r="D1065" s="20">
        <v>165</v>
      </c>
      <c r="E1065" s="38">
        <v>3000</v>
      </c>
      <c r="F1065" s="20" t="s">
        <v>8</v>
      </c>
      <c r="G1065" s="43">
        <v>6.1</v>
      </c>
      <c r="H1065" s="43">
        <v>5.6</v>
      </c>
      <c r="I1065" s="43">
        <v>0</v>
      </c>
      <c r="J1065" s="43">
        <v>0</v>
      </c>
      <c r="K1065" s="1">
        <f t="shared" ref="K1065" si="2082">(IF(F1065="SELL",G1065-H1065,IF(F1065="BUY",H1065-G1065)))*E1065</f>
        <v>-1500</v>
      </c>
      <c r="L1065" s="43">
        <v>0</v>
      </c>
      <c r="M1065" s="43">
        <v>0</v>
      </c>
      <c r="N1065" s="1">
        <f t="shared" si="2072"/>
        <v>-0.5</v>
      </c>
      <c r="O1065" s="1">
        <f t="shared" si="2073"/>
        <v>-1500</v>
      </c>
      <c r="P1065" s="31"/>
      <c r="Q1065" s="31"/>
      <c r="R1065" s="31"/>
      <c r="S1065" s="31"/>
      <c r="T1065" s="31"/>
      <c r="U1065" s="31"/>
      <c r="V1065" s="31"/>
      <c r="W1065" s="31"/>
      <c r="X1065" s="31"/>
      <c r="Y1065" s="31"/>
      <c r="Z1065" s="31"/>
      <c r="AA1065" s="31"/>
      <c r="AB1065" s="31"/>
      <c r="AC1065" s="31"/>
      <c r="AD1065" s="31"/>
      <c r="AE1065" s="31"/>
      <c r="AF1065" s="31"/>
      <c r="AG1065" s="31"/>
    </row>
    <row r="1066" spans="1:33" s="32" customFormat="1" ht="15" customHeight="1">
      <c r="A1066" s="37">
        <v>43791</v>
      </c>
      <c r="B1066" s="20" t="s">
        <v>405</v>
      </c>
      <c r="C1066" s="20" t="s">
        <v>47</v>
      </c>
      <c r="D1066" s="20">
        <v>380</v>
      </c>
      <c r="E1066" s="38">
        <v>1300</v>
      </c>
      <c r="F1066" s="20" t="s">
        <v>8</v>
      </c>
      <c r="G1066" s="43">
        <v>6.5</v>
      </c>
      <c r="H1066" s="43">
        <v>4.5</v>
      </c>
      <c r="I1066" s="43">
        <v>0</v>
      </c>
      <c r="J1066" s="43">
        <v>0</v>
      </c>
      <c r="K1066" s="1">
        <f t="shared" ref="K1066" si="2083">(IF(F1066="SELL",G1066-H1066,IF(F1066="BUY",H1066-G1066)))*E1066</f>
        <v>-2600</v>
      </c>
      <c r="L1066" s="43">
        <v>0</v>
      </c>
      <c r="M1066" s="43">
        <v>0</v>
      </c>
      <c r="N1066" s="1">
        <f t="shared" si="2072"/>
        <v>-2</v>
      </c>
      <c r="O1066" s="1">
        <f t="shared" si="2073"/>
        <v>-2600</v>
      </c>
      <c r="P1066" s="31"/>
      <c r="Q1066" s="31"/>
      <c r="R1066" s="31"/>
      <c r="S1066" s="31"/>
      <c r="T1066" s="31"/>
      <c r="U1066" s="31"/>
      <c r="V1066" s="31"/>
      <c r="W1066" s="31"/>
      <c r="X1066" s="31"/>
      <c r="Y1066" s="31"/>
      <c r="Z1066" s="31"/>
      <c r="AA1066" s="31"/>
      <c r="AB1066" s="31"/>
      <c r="AC1066" s="31"/>
      <c r="AD1066" s="31"/>
      <c r="AE1066" s="31"/>
      <c r="AF1066" s="31"/>
      <c r="AG1066" s="31"/>
    </row>
    <row r="1067" spans="1:33" s="32" customFormat="1" ht="15" customHeight="1">
      <c r="A1067" s="37">
        <v>43791</v>
      </c>
      <c r="B1067" s="20" t="s">
        <v>60</v>
      </c>
      <c r="C1067" s="20" t="s">
        <v>47</v>
      </c>
      <c r="D1067" s="20">
        <v>140</v>
      </c>
      <c r="E1067" s="38">
        <v>3000</v>
      </c>
      <c r="F1067" s="20" t="s">
        <v>8</v>
      </c>
      <c r="G1067" s="43">
        <v>4.2</v>
      </c>
      <c r="H1067" s="43">
        <v>5</v>
      </c>
      <c r="I1067" s="43">
        <v>0</v>
      </c>
      <c r="J1067" s="43">
        <v>0</v>
      </c>
      <c r="K1067" s="1">
        <f t="shared" ref="K1067" si="2084">(IF(F1067="SELL",G1067-H1067,IF(F1067="BUY",H1067-G1067)))*E1067</f>
        <v>2399.9999999999995</v>
      </c>
      <c r="L1067" s="43">
        <v>0</v>
      </c>
      <c r="M1067" s="43">
        <v>0</v>
      </c>
      <c r="N1067" s="1">
        <f t="shared" si="2072"/>
        <v>0.79999999999999982</v>
      </c>
      <c r="O1067" s="1">
        <f t="shared" si="2073"/>
        <v>2399.9999999999995</v>
      </c>
      <c r="P1067" s="31"/>
      <c r="Q1067" s="31"/>
      <c r="R1067" s="31"/>
      <c r="S1067" s="31"/>
      <c r="T1067" s="31"/>
      <c r="U1067" s="31"/>
      <c r="V1067" s="31"/>
      <c r="W1067" s="31"/>
      <c r="X1067" s="31"/>
      <c r="Y1067" s="31"/>
      <c r="Z1067" s="31"/>
      <c r="AA1067" s="31"/>
      <c r="AB1067" s="31"/>
      <c r="AC1067" s="31"/>
      <c r="AD1067" s="31"/>
      <c r="AE1067" s="31"/>
      <c r="AF1067" s="31"/>
      <c r="AG1067" s="31"/>
    </row>
    <row r="1068" spans="1:33" s="32" customFormat="1" ht="15" customHeight="1">
      <c r="A1068" s="37">
        <v>43790</v>
      </c>
      <c r="B1068" s="20" t="s">
        <v>467</v>
      </c>
      <c r="C1068" s="20" t="s">
        <v>47</v>
      </c>
      <c r="D1068" s="20">
        <v>1270</v>
      </c>
      <c r="E1068" s="38">
        <v>500</v>
      </c>
      <c r="F1068" s="20" t="s">
        <v>8</v>
      </c>
      <c r="G1068" s="43">
        <v>21</v>
      </c>
      <c r="H1068" s="43">
        <v>25</v>
      </c>
      <c r="I1068" s="43">
        <v>0</v>
      </c>
      <c r="J1068" s="43">
        <v>0</v>
      </c>
      <c r="K1068" s="1">
        <f t="shared" ref="K1068" si="2085">(IF(F1068="SELL",G1068-H1068,IF(F1068="BUY",H1068-G1068)))*E1068</f>
        <v>2000</v>
      </c>
      <c r="L1068" s="43">
        <v>0</v>
      </c>
      <c r="M1068" s="43">
        <v>0</v>
      </c>
      <c r="N1068" s="1">
        <f t="shared" si="2072"/>
        <v>4</v>
      </c>
      <c r="O1068" s="1">
        <f t="shared" si="2073"/>
        <v>2000</v>
      </c>
      <c r="P1068" s="31"/>
      <c r="Q1068" s="31"/>
      <c r="R1068" s="31"/>
      <c r="S1068" s="31"/>
      <c r="T1068" s="31"/>
      <c r="U1068" s="31"/>
      <c r="V1068" s="31"/>
      <c r="W1068" s="31"/>
      <c r="X1068" s="31"/>
      <c r="Y1068" s="31"/>
      <c r="Z1068" s="31"/>
      <c r="AA1068" s="31"/>
      <c r="AB1068" s="31"/>
      <c r="AC1068" s="31"/>
      <c r="AD1068" s="31"/>
      <c r="AE1068" s="31"/>
      <c r="AF1068" s="31"/>
      <c r="AG1068" s="31"/>
    </row>
    <row r="1069" spans="1:33" s="32" customFormat="1" ht="15" customHeight="1">
      <c r="A1069" s="37">
        <v>43790</v>
      </c>
      <c r="B1069" s="20" t="s">
        <v>399</v>
      </c>
      <c r="C1069" s="20" t="s">
        <v>47</v>
      </c>
      <c r="D1069" s="20">
        <v>310</v>
      </c>
      <c r="E1069" s="38">
        <v>2700</v>
      </c>
      <c r="F1069" s="20" t="s">
        <v>8</v>
      </c>
      <c r="G1069" s="43">
        <v>6.8</v>
      </c>
      <c r="H1069" s="43">
        <v>8.3000000000000007</v>
      </c>
      <c r="I1069" s="43">
        <v>0</v>
      </c>
      <c r="J1069" s="43">
        <v>0</v>
      </c>
      <c r="K1069" s="1">
        <f t="shared" ref="K1069" si="2086">(IF(F1069="SELL",G1069-H1069,IF(F1069="BUY",H1069-G1069)))*E1069</f>
        <v>4050.0000000000023</v>
      </c>
      <c r="L1069" s="43">
        <v>0</v>
      </c>
      <c r="M1069" s="43">
        <v>0</v>
      </c>
      <c r="N1069" s="1">
        <f t="shared" si="2072"/>
        <v>1.5000000000000009</v>
      </c>
      <c r="O1069" s="1">
        <f t="shared" si="2073"/>
        <v>4050.0000000000023</v>
      </c>
      <c r="P1069" s="31"/>
      <c r="Q1069" s="31"/>
      <c r="R1069" s="31"/>
      <c r="S1069" s="31"/>
      <c r="T1069" s="31"/>
      <c r="U1069" s="31"/>
      <c r="V1069" s="31"/>
      <c r="W1069" s="31"/>
      <c r="X1069" s="31"/>
      <c r="Y1069" s="31"/>
      <c r="Z1069" s="31"/>
      <c r="AA1069" s="31"/>
      <c r="AB1069" s="31"/>
      <c r="AC1069" s="31"/>
      <c r="AD1069" s="31"/>
      <c r="AE1069" s="31"/>
      <c r="AF1069" s="31"/>
      <c r="AG1069" s="31"/>
    </row>
    <row r="1070" spans="1:33" s="32" customFormat="1" ht="15" customHeight="1">
      <c r="A1070" s="37">
        <v>43790</v>
      </c>
      <c r="B1070" s="20" t="s">
        <v>402</v>
      </c>
      <c r="C1070" s="20" t="s">
        <v>46</v>
      </c>
      <c r="D1070" s="20">
        <v>1540</v>
      </c>
      <c r="E1070" s="38">
        <v>500</v>
      </c>
      <c r="F1070" s="20" t="s">
        <v>8</v>
      </c>
      <c r="G1070" s="43">
        <v>24.5</v>
      </c>
      <c r="H1070" s="43">
        <v>25.5</v>
      </c>
      <c r="I1070" s="43">
        <v>0</v>
      </c>
      <c r="J1070" s="43">
        <v>0</v>
      </c>
      <c r="K1070" s="1">
        <f t="shared" ref="K1070" si="2087">(IF(F1070="SELL",G1070-H1070,IF(F1070="BUY",H1070-G1070)))*E1070</f>
        <v>500</v>
      </c>
      <c r="L1070" s="43">
        <v>0</v>
      </c>
      <c r="M1070" s="43">
        <v>0</v>
      </c>
      <c r="N1070" s="1">
        <f t="shared" si="2072"/>
        <v>1</v>
      </c>
      <c r="O1070" s="1">
        <f t="shared" si="2073"/>
        <v>500</v>
      </c>
      <c r="P1070" s="31"/>
      <c r="Q1070" s="31"/>
      <c r="R1070" s="31"/>
      <c r="S1070" s="31"/>
      <c r="T1070" s="31"/>
      <c r="U1070" s="31"/>
      <c r="V1070" s="31"/>
      <c r="W1070" s="31"/>
      <c r="X1070" s="31"/>
      <c r="Y1070" s="31"/>
      <c r="Z1070" s="31"/>
      <c r="AA1070" s="31"/>
      <c r="AB1070" s="31"/>
      <c r="AC1070" s="31"/>
      <c r="AD1070" s="31"/>
      <c r="AE1070" s="31"/>
      <c r="AF1070" s="31"/>
      <c r="AG1070" s="31"/>
    </row>
    <row r="1071" spans="1:33" s="32" customFormat="1" ht="15" customHeight="1">
      <c r="A1071" s="37">
        <v>43789</v>
      </c>
      <c r="B1071" s="20" t="s">
        <v>405</v>
      </c>
      <c r="C1071" s="20" t="s">
        <v>47</v>
      </c>
      <c r="D1071" s="20">
        <v>310</v>
      </c>
      <c r="E1071" s="38">
        <v>1300</v>
      </c>
      <c r="F1071" s="20" t="s">
        <v>8</v>
      </c>
      <c r="G1071" s="43">
        <v>12</v>
      </c>
      <c r="H1071" s="43">
        <v>14</v>
      </c>
      <c r="I1071" s="43">
        <v>16</v>
      </c>
      <c r="J1071" s="43">
        <v>17.899999999999999</v>
      </c>
      <c r="K1071" s="1">
        <f t="shared" ref="K1071" si="2088">(IF(F1071="SELL",G1071-H1071,IF(F1071="BUY",H1071-G1071)))*E1071</f>
        <v>2600</v>
      </c>
      <c r="L1071" s="43">
        <f>E1071*2</f>
        <v>2600</v>
      </c>
      <c r="M1071" s="43">
        <f>E1071*1.9</f>
        <v>2470</v>
      </c>
      <c r="N1071" s="1">
        <f t="shared" si="2072"/>
        <v>5.9</v>
      </c>
      <c r="O1071" s="1">
        <f t="shared" si="2073"/>
        <v>7670.0000000000009</v>
      </c>
      <c r="P1071" s="31"/>
      <c r="Q1071" s="31"/>
      <c r="R1071" s="31"/>
      <c r="S1071" s="31"/>
      <c r="T1071" s="31"/>
      <c r="U1071" s="31"/>
      <c r="V1071" s="31"/>
      <c r="W1071" s="31"/>
      <c r="X1071" s="31"/>
      <c r="Y1071" s="31"/>
      <c r="Z1071" s="31"/>
      <c r="AA1071" s="31"/>
      <c r="AB1071" s="31"/>
      <c r="AC1071" s="31"/>
      <c r="AD1071" s="31"/>
      <c r="AE1071" s="31"/>
      <c r="AF1071" s="31"/>
      <c r="AG1071" s="31"/>
    </row>
    <row r="1072" spans="1:33" s="32" customFormat="1" ht="15" customHeight="1">
      <c r="A1072" s="37">
        <v>43789</v>
      </c>
      <c r="B1072" s="20" t="s">
        <v>404</v>
      </c>
      <c r="C1072" s="20" t="s">
        <v>47</v>
      </c>
      <c r="D1072" s="20">
        <v>145</v>
      </c>
      <c r="E1072" s="38">
        <v>6000</v>
      </c>
      <c r="F1072" s="20" t="s">
        <v>8</v>
      </c>
      <c r="G1072" s="43">
        <v>3.6</v>
      </c>
      <c r="H1072" s="43">
        <v>4.2</v>
      </c>
      <c r="I1072" s="43">
        <v>4.7</v>
      </c>
      <c r="J1072" s="43">
        <v>0</v>
      </c>
      <c r="K1072" s="1">
        <f t="shared" ref="K1072" si="2089">(IF(F1072="SELL",G1072-H1072,IF(F1072="BUY",H1072-G1072)))*E1072</f>
        <v>3600.0000000000005</v>
      </c>
      <c r="L1072" s="43">
        <f>E1072*0.5</f>
        <v>3000</v>
      </c>
      <c r="M1072" s="43">
        <v>0</v>
      </c>
      <c r="N1072" s="1">
        <f t="shared" si="2072"/>
        <v>1.1000000000000001</v>
      </c>
      <c r="O1072" s="1">
        <f t="shared" si="2073"/>
        <v>6600.0000000000009</v>
      </c>
      <c r="P1072" s="31"/>
      <c r="Q1072" s="31"/>
      <c r="R1072" s="31"/>
      <c r="S1072" s="31"/>
      <c r="T1072" s="31"/>
      <c r="U1072" s="31"/>
      <c r="V1072" s="31"/>
      <c r="W1072" s="31"/>
      <c r="X1072" s="31"/>
      <c r="Y1072" s="31"/>
      <c r="Z1072" s="31"/>
      <c r="AA1072" s="31"/>
      <c r="AB1072" s="31"/>
      <c r="AC1072" s="31"/>
      <c r="AD1072" s="31"/>
      <c r="AE1072" s="31"/>
      <c r="AF1072" s="31"/>
      <c r="AG1072" s="31"/>
    </row>
    <row r="1073" spans="1:33" s="32" customFormat="1" ht="15" customHeight="1">
      <c r="A1073" s="37">
        <v>43788</v>
      </c>
      <c r="B1073" s="20" t="s">
        <v>402</v>
      </c>
      <c r="C1073" s="20" t="s">
        <v>47</v>
      </c>
      <c r="D1073" s="20">
        <v>1500</v>
      </c>
      <c r="E1073" s="38">
        <v>500</v>
      </c>
      <c r="F1073" s="20" t="s">
        <v>8</v>
      </c>
      <c r="G1073" s="43">
        <v>23.5</v>
      </c>
      <c r="H1073" s="43">
        <v>27.5</v>
      </c>
      <c r="I1073" s="43">
        <v>32.5</v>
      </c>
      <c r="J1073" s="43">
        <v>37.5</v>
      </c>
      <c r="K1073" s="1">
        <f t="shared" ref="K1073:K1075" si="2090">(IF(F1073="SELL",G1073-H1073,IF(F1073="BUY",H1073-G1073)))*E1073</f>
        <v>2000</v>
      </c>
      <c r="L1073" s="43">
        <f>E1073*5</f>
        <v>2500</v>
      </c>
      <c r="M1073" s="43">
        <f>E1073*5</f>
        <v>2500</v>
      </c>
      <c r="N1073" s="1">
        <f t="shared" si="2072"/>
        <v>14</v>
      </c>
      <c r="O1073" s="1">
        <f t="shared" si="2073"/>
        <v>7000</v>
      </c>
      <c r="P1073" s="31"/>
      <c r="Q1073" s="31"/>
      <c r="R1073" s="31"/>
      <c r="S1073" s="31"/>
      <c r="T1073" s="31"/>
      <c r="U1073" s="31"/>
      <c r="V1073" s="31"/>
      <c r="W1073" s="31"/>
      <c r="X1073" s="31"/>
      <c r="Y1073" s="31"/>
      <c r="Z1073" s="31"/>
      <c r="AA1073" s="31"/>
      <c r="AB1073" s="31"/>
      <c r="AC1073" s="31"/>
      <c r="AD1073" s="31"/>
      <c r="AE1073" s="31"/>
      <c r="AF1073" s="31"/>
      <c r="AG1073" s="31"/>
    </row>
    <row r="1074" spans="1:33" s="32" customFormat="1" ht="15" customHeight="1">
      <c r="A1074" s="37">
        <v>43788</v>
      </c>
      <c r="B1074" s="20" t="s">
        <v>96</v>
      </c>
      <c r="C1074" s="20" t="s">
        <v>46</v>
      </c>
      <c r="D1074" s="20">
        <v>580</v>
      </c>
      <c r="E1074" s="38">
        <v>1000</v>
      </c>
      <c r="F1074" s="20" t="s">
        <v>8</v>
      </c>
      <c r="G1074" s="43">
        <v>19</v>
      </c>
      <c r="H1074" s="43">
        <v>21</v>
      </c>
      <c r="I1074" s="43">
        <v>23</v>
      </c>
      <c r="J1074" s="43">
        <v>0</v>
      </c>
      <c r="K1074" s="1">
        <f t="shared" ref="K1074" si="2091">(IF(F1074="SELL",G1074-H1074,IF(F1074="BUY",H1074-G1074)))*E1074</f>
        <v>2000</v>
      </c>
      <c r="L1074" s="43">
        <f>E1074*2</f>
        <v>2000</v>
      </c>
      <c r="M1074" s="43">
        <v>0</v>
      </c>
      <c r="N1074" s="1">
        <f t="shared" si="2072"/>
        <v>4</v>
      </c>
      <c r="O1074" s="1">
        <f t="shared" si="2073"/>
        <v>4000</v>
      </c>
      <c r="P1074" s="31"/>
      <c r="Q1074" s="31"/>
      <c r="R1074" s="31"/>
      <c r="S1074" s="31"/>
      <c r="T1074" s="31"/>
      <c r="U1074" s="31"/>
      <c r="V1074" s="31"/>
      <c r="W1074" s="31"/>
      <c r="X1074" s="31"/>
      <c r="Y1074" s="31"/>
      <c r="Z1074" s="31"/>
      <c r="AA1074" s="31"/>
      <c r="AB1074" s="31"/>
      <c r="AC1074" s="31"/>
      <c r="AD1074" s="31"/>
      <c r="AE1074" s="31"/>
      <c r="AF1074" s="31"/>
      <c r="AG1074" s="31"/>
    </row>
    <row r="1075" spans="1:33" s="32" customFormat="1" ht="15" customHeight="1">
      <c r="A1075" s="37">
        <v>43788</v>
      </c>
      <c r="B1075" s="20" t="s">
        <v>466</v>
      </c>
      <c r="C1075" s="20" t="s">
        <v>47</v>
      </c>
      <c r="D1075" s="20">
        <v>495</v>
      </c>
      <c r="E1075" s="38">
        <v>1375</v>
      </c>
      <c r="F1075" s="20" t="s">
        <v>8</v>
      </c>
      <c r="G1075" s="43">
        <v>12.7</v>
      </c>
      <c r="H1075" s="43">
        <v>10</v>
      </c>
      <c r="I1075" s="43">
        <v>0</v>
      </c>
      <c r="J1075" s="43">
        <v>0</v>
      </c>
      <c r="K1075" s="1">
        <f t="shared" si="2090"/>
        <v>-3712.4999999999991</v>
      </c>
      <c r="L1075" s="43">
        <v>0</v>
      </c>
      <c r="M1075" s="43">
        <v>0</v>
      </c>
      <c r="N1075" s="1">
        <f t="shared" si="2072"/>
        <v>-2.6999999999999993</v>
      </c>
      <c r="O1075" s="1">
        <f t="shared" si="2073"/>
        <v>-3712.4999999999991</v>
      </c>
      <c r="P1075" s="31"/>
      <c r="Q1075" s="31"/>
      <c r="R1075" s="31"/>
      <c r="S1075" s="31"/>
      <c r="T1075" s="31"/>
      <c r="U1075" s="31"/>
      <c r="V1075" s="31"/>
      <c r="W1075" s="31"/>
      <c r="X1075" s="31"/>
      <c r="Y1075" s="31"/>
      <c r="Z1075" s="31"/>
      <c r="AA1075" s="31"/>
      <c r="AB1075" s="31"/>
      <c r="AC1075" s="31"/>
      <c r="AD1075" s="31"/>
      <c r="AE1075" s="31"/>
      <c r="AF1075" s="31"/>
      <c r="AG1075" s="31"/>
    </row>
    <row r="1076" spans="1:33" s="32" customFormat="1" ht="15" customHeight="1">
      <c r="A1076" s="37">
        <v>43787</v>
      </c>
      <c r="B1076" s="20" t="s">
        <v>460</v>
      </c>
      <c r="C1076" s="20" t="s">
        <v>46</v>
      </c>
      <c r="D1076" s="20">
        <v>1500</v>
      </c>
      <c r="E1076" s="38">
        <v>550</v>
      </c>
      <c r="F1076" s="20" t="s">
        <v>8</v>
      </c>
      <c r="G1076" s="43">
        <v>22</v>
      </c>
      <c r="H1076" s="43">
        <v>23</v>
      </c>
      <c r="I1076" s="43">
        <v>0</v>
      </c>
      <c r="J1076" s="43">
        <v>0</v>
      </c>
      <c r="K1076" s="1">
        <f t="shared" ref="K1076" si="2092">(IF(F1076="SELL",G1076-H1076,IF(F1076="BUY",H1076-G1076)))*E1076</f>
        <v>550</v>
      </c>
      <c r="L1076" s="43">
        <v>0</v>
      </c>
      <c r="M1076" s="43">
        <v>0</v>
      </c>
      <c r="N1076" s="1">
        <f t="shared" si="2072"/>
        <v>1</v>
      </c>
      <c r="O1076" s="1">
        <f t="shared" si="2073"/>
        <v>550</v>
      </c>
      <c r="P1076" s="31"/>
      <c r="Q1076" s="31"/>
      <c r="R1076" s="31"/>
      <c r="S1076" s="31"/>
      <c r="T1076" s="31"/>
      <c r="U1076" s="31"/>
      <c r="V1076" s="31"/>
      <c r="W1076" s="31"/>
      <c r="X1076" s="31"/>
      <c r="Y1076" s="31"/>
      <c r="Z1076" s="31"/>
      <c r="AA1076" s="31"/>
      <c r="AB1076" s="31"/>
      <c r="AC1076" s="31"/>
      <c r="AD1076" s="31"/>
      <c r="AE1076" s="31"/>
      <c r="AF1076" s="31"/>
      <c r="AG1076" s="31"/>
    </row>
    <row r="1077" spans="1:33" s="32" customFormat="1" ht="15" customHeight="1">
      <c r="A1077" s="37">
        <v>43787</v>
      </c>
      <c r="B1077" s="20" t="s">
        <v>405</v>
      </c>
      <c r="C1077" s="20" t="s">
        <v>47</v>
      </c>
      <c r="D1077" s="20">
        <v>310</v>
      </c>
      <c r="E1077" s="38">
        <v>1300</v>
      </c>
      <c r="F1077" s="20" t="s">
        <v>8</v>
      </c>
      <c r="G1077" s="43">
        <v>11.5</v>
      </c>
      <c r="H1077" s="43">
        <v>11.5</v>
      </c>
      <c r="I1077" s="43">
        <v>0</v>
      </c>
      <c r="J1077" s="43">
        <v>0</v>
      </c>
      <c r="K1077" s="1">
        <f t="shared" ref="K1077" si="2093">(IF(F1077="SELL",G1077-H1077,IF(F1077="BUY",H1077-G1077)))*E1077</f>
        <v>0</v>
      </c>
      <c r="L1077" s="43">
        <v>0</v>
      </c>
      <c r="M1077" s="43">
        <v>0</v>
      </c>
      <c r="N1077" s="1">
        <f t="shared" si="2072"/>
        <v>0</v>
      </c>
      <c r="O1077" s="1">
        <f t="shared" si="2073"/>
        <v>0</v>
      </c>
      <c r="P1077" s="31"/>
      <c r="Q1077" s="31"/>
      <c r="R1077" s="31"/>
      <c r="S1077" s="31"/>
      <c r="T1077" s="31"/>
      <c r="U1077" s="31"/>
      <c r="V1077" s="31"/>
      <c r="W1077" s="31"/>
      <c r="X1077" s="31"/>
      <c r="Y1077" s="31"/>
      <c r="Z1077" s="31"/>
      <c r="AA1077" s="31"/>
      <c r="AB1077" s="31"/>
      <c r="AC1077" s="31"/>
      <c r="AD1077" s="31"/>
      <c r="AE1077" s="31"/>
      <c r="AF1077" s="31"/>
      <c r="AG1077" s="31"/>
    </row>
    <row r="1078" spans="1:33" s="32" customFormat="1" ht="15" customHeight="1">
      <c r="A1078" s="37">
        <v>43787</v>
      </c>
      <c r="B1078" s="20" t="s">
        <v>443</v>
      </c>
      <c r="C1078" s="20" t="s">
        <v>46</v>
      </c>
      <c r="D1078" s="20">
        <v>190</v>
      </c>
      <c r="E1078" s="38">
        <v>800</v>
      </c>
      <c r="F1078" s="20" t="s">
        <v>8</v>
      </c>
      <c r="G1078" s="43">
        <v>15</v>
      </c>
      <c r="H1078" s="43">
        <v>12</v>
      </c>
      <c r="I1078" s="43">
        <v>0</v>
      </c>
      <c r="J1078" s="43">
        <v>0</v>
      </c>
      <c r="K1078" s="1">
        <f t="shared" ref="K1078" si="2094">(IF(F1078="SELL",G1078-H1078,IF(F1078="BUY",H1078-G1078)))*E1078</f>
        <v>-2400</v>
      </c>
      <c r="L1078" s="43">
        <v>0</v>
      </c>
      <c r="M1078" s="43">
        <v>0</v>
      </c>
      <c r="N1078" s="1">
        <f t="shared" si="2072"/>
        <v>-3</v>
      </c>
      <c r="O1078" s="1">
        <f t="shared" si="2073"/>
        <v>-2400</v>
      </c>
      <c r="P1078" s="31"/>
      <c r="Q1078" s="31"/>
      <c r="R1078" s="31"/>
      <c r="S1078" s="31"/>
      <c r="T1078" s="31"/>
      <c r="U1078" s="31"/>
      <c r="V1078" s="31"/>
      <c r="W1078" s="31"/>
      <c r="X1078" s="31"/>
      <c r="Y1078" s="31"/>
      <c r="Z1078" s="31"/>
      <c r="AA1078" s="31"/>
      <c r="AB1078" s="31"/>
      <c r="AC1078" s="31"/>
      <c r="AD1078" s="31"/>
      <c r="AE1078" s="31"/>
      <c r="AF1078" s="31"/>
      <c r="AG1078" s="31"/>
    </row>
    <row r="1079" spans="1:33" s="32" customFormat="1" ht="15" customHeight="1">
      <c r="A1079" s="37">
        <v>43784</v>
      </c>
      <c r="B1079" s="20" t="s">
        <v>43</v>
      </c>
      <c r="C1079" s="20" t="s">
        <v>47</v>
      </c>
      <c r="D1079" s="20">
        <v>1280</v>
      </c>
      <c r="E1079" s="38">
        <v>500</v>
      </c>
      <c r="F1079" s="20" t="s">
        <v>8</v>
      </c>
      <c r="G1079" s="43">
        <v>22</v>
      </c>
      <c r="H1079" s="43">
        <v>22</v>
      </c>
      <c r="I1079" s="43">
        <v>0</v>
      </c>
      <c r="J1079" s="43">
        <v>0</v>
      </c>
      <c r="K1079" s="1">
        <f t="shared" ref="K1079" si="2095">(IF(F1079="SELL",G1079-H1079,IF(F1079="BUY",H1079-G1079)))*E1079</f>
        <v>0</v>
      </c>
      <c r="L1079" s="43">
        <v>0</v>
      </c>
      <c r="M1079" s="43">
        <v>0</v>
      </c>
      <c r="N1079" s="1">
        <f t="shared" si="2072"/>
        <v>0</v>
      </c>
      <c r="O1079" s="1">
        <f t="shared" si="2073"/>
        <v>0</v>
      </c>
      <c r="P1079" s="31"/>
      <c r="Q1079" s="31"/>
      <c r="R1079" s="31"/>
      <c r="S1079" s="31"/>
      <c r="T1079" s="31"/>
      <c r="U1079" s="31"/>
      <c r="V1079" s="31"/>
      <c r="W1079" s="31"/>
      <c r="X1079" s="31"/>
      <c r="Y1079" s="31"/>
      <c r="Z1079" s="31"/>
      <c r="AA1079" s="31"/>
      <c r="AB1079" s="31"/>
      <c r="AC1079" s="31"/>
      <c r="AD1079" s="31"/>
      <c r="AE1079" s="31"/>
      <c r="AF1079" s="31"/>
      <c r="AG1079" s="31"/>
    </row>
    <row r="1080" spans="1:33" s="32" customFormat="1" ht="15" customHeight="1">
      <c r="A1080" s="37">
        <v>43784</v>
      </c>
      <c r="B1080" s="20" t="s">
        <v>402</v>
      </c>
      <c r="C1080" s="20" t="s">
        <v>47</v>
      </c>
      <c r="D1080" s="20">
        <v>1480</v>
      </c>
      <c r="E1080" s="38">
        <v>500</v>
      </c>
      <c r="F1080" s="20" t="s">
        <v>8</v>
      </c>
      <c r="G1080" s="43">
        <v>34</v>
      </c>
      <c r="H1080" s="43">
        <v>28</v>
      </c>
      <c r="I1080" s="43">
        <v>37.5</v>
      </c>
      <c r="J1080" s="43">
        <v>0</v>
      </c>
      <c r="K1080" s="1">
        <f t="shared" ref="K1080" si="2096">(IF(F1080="SELL",G1080-H1080,IF(F1080="BUY",H1080-G1080)))*E1080</f>
        <v>-3000</v>
      </c>
      <c r="L1080" s="43">
        <v>0</v>
      </c>
      <c r="M1080" s="43">
        <v>0</v>
      </c>
      <c r="N1080" s="1">
        <f t="shared" si="2072"/>
        <v>-6</v>
      </c>
      <c r="O1080" s="1">
        <f t="shared" si="2073"/>
        <v>-3000</v>
      </c>
      <c r="P1080" s="31"/>
      <c r="Q1080" s="31"/>
      <c r="R1080" s="31"/>
      <c r="S1080" s="31"/>
      <c r="T1080" s="31"/>
      <c r="U1080" s="31"/>
      <c r="V1080" s="31"/>
      <c r="W1080" s="31"/>
      <c r="X1080" s="31"/>
      <c r="Y1080" s="31"/>
      <c r="Z1080" s="31"/>
      <c r="AA1080" s="31"/>
      <c r="AB1080" s="31"/>
      <c r="AC1080" s="31"/>
      <c r="AD1080" s="31"/>
      <c r="AE1080" s="31"/>
      <c r="AF1080" s="31"/>
      <c r="AG1080" s="31"/>
    </row>
    <row r="1081" spans="1:33" s="32" customFormat="1" ht="15" customHeight="1">
      <c r="A1081" s="37">
        <v>43784</v>
      </c>
      <c r="B1081" s="20" t="s">
        <v>465</v>
      </c>
      <c r="C1081" s="20" t="s">
        <v>47</v>
      </c>
      <c r="D1081" s="20">
        <v>720</v>
      </c>
      <c r="E1081" s="38">
        <v>1000</v>
      </c>
      <c r="F1081" s="20" t="s">
        <v>8</v>
      </c>
      <c r="G1081" s="43">
        <v>14.5</v>
      </c>
      <c r="H1081" s="43">
        <v>11.8</v>
      </c>
      <c r="I1081" s="43">
        <v>0</v>
      </c>
      <c r="J1081" s="43">
        <v>0</v>
      </c>
      <c r="K1081" s="1">
        <f t="shared" ref="K1081" si="2097">(IF(F1081="SELL",G1081-H1081,IF(F1081="BUY",H1081-G1081)))*E1081</f>
        <v>-2699.9999999999991</v>
      </c>
      <c r="L1081" s="43">
        <v>0</v>
      </c>
      <c r="M1081" s="43">
        <v>0</v>
      </c>
      <c r="N1081" s="1">
        <f t="shared" si="2072"/>
        <v>-2.6999999999999993</v>
      </c>
      <c r="O1081" s="1">
        <f t="shared" si="2073"/>
        <v>-2699.9999999999991</v>
      </c>
      <c r="P1081" s="31"/>
      <c r="Q1081" s="31"/>
      <c r="R1081" s="31"/>
      <c r="S1081" s="31"/>
      <c r="T1081" s="31"/>
      <c r="U1081" s="31"/>
      <c r="V1081" s="31"/>
      <c r="W1081" s="31"/>
      <c r="X1081" s="31"/>
      <c r="Y1081" s="31"/>
      <c r="Z1081" s="31"/>
      <c r="AA1081" s="31"/>
      <c r="AB1081" s="31"/>
      <c r="AC1081" s="31"/>
      <c r="AD1081" s="31"/>
      <c r="AE1081" s="31"/>
      <c r="AF1081" s="31"/>
      <c r="AG1081" s="31"/>
    </row>
    <row r="1082" spans="1:33" s="32" customFormat="1" ht="15" customHeight="1">
      <c r="A1082" s="37">
        <v>43783</v>
      </c>
      <c r="B1082" s="20" t="s">
        <v>465</v>
      </c>
      <c r="C1082" s="20" t="s">
        <v>47</v>
      </c>
      <c r="D1082" s="20">
        <v>720</v>
      </c>
      <c r="E1082" s="38">
        <v>1000</v>
      </c>
      <c r="F1082" s="20" t="s">
        <v>8</v>
      </c>
      <c r="G1082" s="43">
        <v>12</v>
      </c>
      <c r="H1082" s="43">
        <v>13.5</v>
      </c>
      <c r="I1082" s="43">
        <v>37.5</v>
      </c>
      <c r="J1082" s="43">
        <v>0</v>
      </c>
      <c r="K1082" s="1">
        <f t="shared" ref="K1082" si="2098">(IF(F1082="SELL",G1082-H1082,IF(F1082="BUY",H1082-G1082)))*E1082</f>
        <v>1500</v>
      </c>
      <c r="L1082" s="43">
        <v>0</v>
      </c>
      <c r="M1082" s="43">
        <v>0</v>
      </c>
      <c r="N1082" s="1">
        <f t="shared" si="2072"/>
        <v>1.5</v>
      </c>
      <c r="O1082" s="1">
        <f t="shared" si="2073"/>
        <v>1500</v>
      </c>
      <c r="P1082" s="31"/>
      <c r="Q1082" s="31"/>
      <c r="R1082" s="31"/>
      <c r="S1082" s="31"/>
      <c r="T1082" s="31"/>
      <c r="U1082" s="31"/>
      <c r="V1082" s="31"/>
      <c r="W1082" s="31"/>
      <c r="X1082" s="31"/>
      <c r="Y1082" s="31"/>
      <c r="Z1082" s="31"/>
      <c r="AA1082" s="31"/>
      <c r="AB1082" s="31"/>
      <c r="AC1082" s="31"/>
      <c r="AD1082" s="31"/>
      <c r="AE1082" s="31"/>
      <c r="AF1082" s="31"/>
      <c r="AG1082" s="31"/>
    </row>
    <row r="1083" spans="1:33" s="32" customFormat="1" ht="15" customHeight="1">
      <c r="A1083" s="37">
        <v>43783</v>
      </c>
      <c r="B1083" s="20" t="s">
        <v>63</v>
      </c>
      <c r="C1083" s="20" t="s">
        <v>425</v>
      </c>
      <c r="D1083" s="20">
        <v>280</v>
      </c>
      <c r="E1083" s="38">
        <v>2100</v>
      </c>
      <c r="F1083" s="20" t="s">
        <v>8</v>
      </c>
      <c r="G1083" s="43">
        <v>5.6</v>
      </c>
      <c r="H1083" s="43">
        <v>5.9</v>
      </c>
      <c r="I1083" s="43">
        <v>0</v>
      </c>
      <c r="J1083" s="43">
        <v>0</v>
      </c>
      <c r="K1083" s="1">
        <f t="shared" ref="K1083" si="2099">(IF(F1083="SELL",G1083-H1083,IF(F1083="BUY",H1083-G1083)))*E1083</f>
        <v>630.00000000000148</v>
      </c>
      <c r="L1083" s="43">
        <v>0</v>
      </c>
      <c r="M1083" s="43">
        <v>0</v>
      </c>
      <c r="N1083" s="1">
        <f t="shared" si="2072"/>
        <v>0.30000000000000071</v>
      </c>
      <c r="O1083" s="1">
        <f t="shared" si="2073"/>
        <v>630.00000000000148</v>
      </c>
      <c r="P1083" s="31"/>
      <c r="Q1083" s="31"/>
      <c r="R1083" s="31"/>
      <c r="S1083" s="31"/>
      <c r="T1083" s="31"/>
      <c r="U1083" s="31"/>
      <c r="V1083" s="31"/>
      <c r="W1083" s="31"/>
      <c r="X1083" s="31"/>
      <c r="Y1083" s="31"/>
      <c r="Z1083" s="31"/>
      <c r="AA1083" s="31"/>
      <c r="AB1083" s="31"/>
      <c r="AC1083" s="31"/>
      <c r="AD1083" s="31"/>
      <c r="AE1083" s="31"/>
      <c r="AF1083" s="31"/>
      <c r="AG1083" s="31"/>
    </row>
    <row r="1084" spans="1:33" s="32" customFormat="1" ht="15" customHeight="1">
      <c r="A1084" s="37">
        <v>43782</v>
      </c>
      <c r="B1084" s="20" t="s">
        <v>443</v>
      </c>
      <c r="C1084" s="20" t="s">
        <v>46</v>
      </c>
      <c r="D1084" s="20">
        <v>230</v>
      </c>
      <c r="E1084" s="38">
        <v>800</v>
      </c>
      <c r="F1084" s="20" t="s">
        <v>8</v>
      </c>
      <c r="G1084" s="43">
        <v>29.5</v>
      </c>
      <c r="H1084" s="43">
        <v>33.5</v>
      </c>
      <c r="I1084" s="43">
        <v>37.5</v>
      </c>
      <c r="J1084" s="43">
        <v>0</v>
      </c>
      <c r="K1084" s="1">
        <f t="shared" ref="K1084" si="2100">(IF(F1084="SELL",G1084-H1084,IF(F1084="BUY",H1084-G1084)))*E1084</f>
        <v>3200</v>
      </c>
      <c r="L1084" s="43">
        <f>E1084*4</f>
        <v>3200</v>
      </c>
      <c r="M1084" s="43">
        <v>0</v>
      </c>
      <c r="N1084" s="1">
        <f t="shared" si="2072"/>
        <v>8</v>
      </c>
      <c r="O1084" s="1">
        <f t="shared" si="2073"/>
        <v>6400</v>
      </c>
      <c r="P1084" s="31"/>
      <c r="Q1084" s="31"/>
      <c r="R1084" s="31"/>
      <c r="S1084" s="31"/>
      <c r="T1084" s="31"/>
      <c r="U1084" s="31"/>
      <c r="V1084" s="31"/>
      <c r="W1084" s="31"/>
      <c r="X1084" s="31"/>
      <c r="Y1084" s="31"/>
      <c r="Z1084" s="31"/>
      <c r="AA1084" s="31"/>
      <c r="AB1084" s="31"/>
      <c r="AC1084" s="31"/>
      <c r="AD1084" s="31"/>
      <c r="AE1084" s="31"/>
      <c r="AF1084" s="31"/>
      <c r="AG1084" s="31"/>
    </row>
    <row r="1085" spans="1:33" s="32" customFormat="1" ht="15" customHeight="1">
      <c r="A1085" s="37">
        <v>43782</v>
      </c>
      <c r="B1085" s="20" t="s">
        <v>464</v>
      </c>
      <c r="C1085" s="20" t="s">
        <v>47</v>
      </c>
      <c r="D1085" s="20">
        <v>9000</v>
      </c>
      <c r="E1085" s="38">
        <v>125</v>
      </c>
      <c r="F1085" s="20" t="s">
        <v>8</v>
      </c>
      <c r="G1085" s="43">
        <v>170</v>
      </c>
      <c r="H1085" s="43">
        <v>200</v>
      </c>
      <c r="I1085" s="43">
        <v>0</v>
      </c>
      <c r="J1085" s="43">
        <v>0</v>
      </c>
      <c r="K1085" s="1">
        <f t="shared" ref="K1085:K1086" si="2101">(IF(F1085="SELL",G1085-H1085,IF(F1085="BUY",H1085-G1085)))*E1085</f>
        <v>3750</v>
      </c>
      <c r="L1085" s="43">
        <v>0</v>
      </c>
      <c r="M1085" s="43">
        <v>0</v>
      </c>
      <c r="N1085" s="1">
        <f t="shared" si="2072"/>
        <v>30</v>
      </c>
      <c r="O1085" s="1">
        <f t="shared" si="2073"/>
        <v>3750</v>
      </c>
      <c r="P1085" s="31"/>
      <c r="Q1085" s="31"/>
      <c r="R1085" s="31"/>
      <c r="S1085" s="31"/>
      <c r="T1085" s="31"/>
      <c r="U1085" s="31"/>
      <c r="V1085" s="31"/>
      <c r="W1085" s="31"/>
      <c r="X1085" s="31"/>
      <c r="Y1085" s="31"/>
      <c r="Z1085" s="31"/>
      <c r="AA1085" s="31"/>
      <c r="AB1085" s="31"/>
      <c r="AC1085" s="31"/>
      <c r="AD1085" s="31"/>
      <c r="AE1085" s="31"/>
      <c r="AF1085" s="31"/>
      <c r="AG1085" s="31"/>
    </row>
    <row r="1086" spans="1:33" s="32" customFormat="1" ht="15" customHeight="1">
      <c r="A1086" s="37">
        <v>43782</v>
      </c>
      <c r="B1086" s="20" t="s">
        <v>72</v>
      </c>
      <c r="C1086" s="20" t="s">
        <v>47</v>
      </c>
      <c r="D1086" s="20">
        <v>530</v>
      </c>
      <c r="E1086" s="38">
        <v>1800</v>
      </c>
      <c r="F1086" s="20" t="s">
        <v>8</v>
      </c>
      <c r="G1086" s="43">
        <v>16.5</v>
      </c>
      <c r="H1086" s="43">
        <v>14.5</v>
      </c>
      <c r="I1086" s="43">
        <v>0</v>
      </c>
      <c r="J1086" s="43">
        <v>0</v>
      </c>
      <c r="K1086" s="1">
        <f t="shared" si="2101"/>
        <v>-3600</v>
      </c>
      <c r="L1086" s="43">
        <v>0</v>
      </c>
      <c r="M1086" s="43">
        <v>0</v>
      </c>
      <c r="N1086" s="1">
        <f t="shared" si="2072"/>
        <v>-2</v>
      </c>
      <c r="O1086" s="1">
        <f t="shared" si="2073"/>
        <v>-3600</v>
      </c>
      <c r="P1086" s="31"/>
      <c r="Q1086" s="31"/>
      <c r="R1086" s="31"/>
      <c r="S1086" s="31"/>
      <c r="T1086" s="31"/>
      <c r="U1086" s="31"/>
      <c r="V1086" s="31"/>
      <c r="W1086" s="31"/>
      <c r="X1086" s="31"/>
      <c r="Y1086" s="31"/>
      <c r="Z1086" s="31"/>
      <c r="AA1086" s="31"/>
      <c r="AB1086" s="31"/>
      <c r="AC1086" s="31"/>
      <c r="AD1086" s="31"/>
      <c r="AE1086" s="31"/>
      <c r="AF1086" s="31"/>
      <c r="AG1086" s="31"/>
    </row>
    <row r="1087" spans="1:33" s="32" customFormat="1" ht="15" customHeight="1">
      <c r="A1087" s="37">
        <v>43780</v>
      </c>
      <c r="B1087" s="20" t="s">
        <v>405</v>
      </c>
      <c r="C1087" s="20" t="s">
        <v>47</v>
      </c>
      <c r="D1087" s="20">
        <v>310</v>
      </c>
      <c r="E1087" s="38">
        <v>1300</v>
      </c>
      <c r="F1087" s="20" t="s">
        <v>8</v>
      </c>
      <c r="G1087" s="43">
        <v>16</v>
      </c>
      <c r="H1087" s="43">
        <v>19</v>
      </c>
      <c r="I1087" s="43">
        <v>0</v>
      </c>
      <c r="J1087" s="43">
        <v>0</v>
      </c>
      <c r="K1087" s="1">
        <f t="shared" ref="K1087" si="2102">(IF(F1087="SELL",G1087-H1087,IF(F1087="BUY",H1087-G1087)))*E1087</f>
        <v>3900</v>
      </c>
      <c r="L1087" s="43">
        <v>0</v>
      </c>
      <c r="M1087" s="43">
        <v>0</v>
      </c>
      <c r="N1087" s="1">
        <f t="shared" si="2072"/>
        <v>3</v>
      </c>
      <c r="O1087" s="1">
        <f t="shared" si="2073"/>
        <v>3900</v>
      </c>
      <c r="P1087" s="31"/>
      <c r="Q1087" s="31"/>
      <c r="R1087" s="31"/>
      <c r="S1087" s="31"/>
      <c r="T1087" s="31"/>
      <c r="U1087" s="31"/>
      <c r="V1087" s="31"/>
      <c r="W1087" s="31"/>
      <c r="X1087" s="31"/>
      <c r="Y1087" s="31"/>
      <c r="Z1087" s="31"/>
      <c r="AA1087" s="31"/>
      <c r="AB1087" s="31"/>
      <c r="AC1087" s="31"/>
      <c r="AD1087" s="31"/>
      <c r="AE1087" s="31"/>
      <c r="AF1087" s="31"/>
      <c r="AG1087" s="31"/>
    </row>
    <row r="1088" spans="1:33" s="32" customFormat="1" ht="15" customHeight="1">
      <c r="A1088" s="37">
        <v>43780</v>
      </c>
      <c r="B1088" s="20" t="s">
        <v>96</v>
      </c>
      <c r="C1088" s="20" t="s">
        <v>46</v>
      </c>
      <c r="D1088" s="20">
        <v>580</v>
      </c>
      <c r="E1088" s="38">
        <v>1000</v>
      </c>
      <c r="F1088" s="20" t="s">
        <v>8</v>
      </c>
      <c r="G1088" s="43">
        <v>18</v>
      </c>
      <c r="H1088" s="43">
        <v>21</v>
      </c>
      <c r="I1088" s="43">
        <v>0</v>
      </c>
      <c r="J1088" s="43">
        <v>0</v>
      </c>
      <c r="K1088" s="1">
        <f t="shared" ref="K1088" si="2103">(IF(F1088="SELL",G1088-H1088,IF(F1088="BUY",H1088-G1088)))*E1088</f>
        <v>3000</v>
      </c>
      <c r="L1088" s="43">
        <v>0</v>
      </c>
      <c r="M1088" s="43">
        <v>0</v>
      </c>
      <c r="N1088" s="1">
        <f t="shared" si="2072"/>
        <v>3</v>
      </c>
      <c r="O1088" s="1">
        <f t="shared" si="2073"/>
        <v>3000</v>
      </c>
      <c r="P1088" s="31"/>
      <c r="Q1088" s="31"/>
      <c r="R1088" s="31"/>
      <c r="S1088" s="31"/>
      <c r="T1088" s="31"/>
      <c r="U1088" s="31"/>
      <c r="V1088" s="31"/>
      <c r="W1088" s="31"/>
      <c r="X1088" s="31"/>
      <c r="Y1088" s="31"/>
      <c r="Z1088" s="31"/>
      <c r="AA1088" s="31"/>
      <c r="AB1088" s="31"/>
      <c r="AC1088" s="31"/>
      <c r="AD1088" s="31"/>
      <c r="AE1088" s="31"/>
      <c r="AF1088" s="31"/>
      <c r="AG1088" s="31"/>
    </row>
    <row r="1089" spans="1:33" s="32" customFormat="1" ht="15" customHeight="1">
      <c r="A1089" s="37">
        <v>43780</v>
      </c>
      <c r="B1089" s="20" t="s">
        <v>77</v>
      </c>
      <c r="C1089" s="20" t="s">
        <v>46</v>
      </c>
      <c r="D1089" s="20">
        <v>125</v>
      </c>
      <c r="E1089" s="38">
        <v>5334</v>
      </c>
      <c r="F1089" s="20" t="s">
        <v>8</v>
      </c>
      <c r="G1089" s="43">
        <v>3.6</v>
      </c>
      <c r="H1089" s="43">
        <v>2.6</v>
      </c>
      <c r="I1089" s="43">
        <v>0</v>
      </c>
      <c r="J1089" s="43">
        <v>0</v>
      </c>
      <c r="K1089" s="1">
        <f t="shared" ref="K1089" si="2104">(IF(F1089="SELL",G1089-H1089,IF(F1089="BUY",H1089-G1089)))*E1089</f>
        <v>-5334</v>
      </c>
      <c r="L1089" s="43">
        <v>0</v>
      </c>
      <c r="M1089" s="43">
        <v>0</v>
      </c>
      <c r="N1089" s="1">
        <f t="shared" si="2072"/>
        <v>-1</v>
      </c>
      <c r="O1089" s="1">
        <f t="shared" si="2073"/>
        <v>-5334</v>
      </c>
      <c r="P1089" s="31"/>
      <c r="Q1089" s="31"/>
      <c r="R1089" s="31"/>
      <c r="S1089" s="31"/>
      <c r="T1089" s="31"/>
      <c r="U1089" s="31"/>
      <c r="V1089" s="31"/>
      <c r="W1089" s="31"/>
      <c r="X1089" s="31"/>
      <c r="Y1089" s="31"/>
      <c r="Z1089" s="31"/>
      <c r="AA1089" s="31"/>
      <c r="AB1089" s="31"/>
      <c r="AC1089" s="31"/>
      <c r="AD1089" s="31"/>
      <c r="AE1089" s="31"/>
      <c r="AF1089" s="31"/>
      <c r="AG1089" s="31"/>
    </row>
    <row r="1090" spans="1:33" s="32" customFormat="1" ht="15" customHeight="1">
      <c r="A1090" s="37">
        <v>43777</v>
      </c>
      <c r="B1090" s="20" t="s">
        <v>417</v>
      </c>
      <c r="C1090" s="20" t="s">
        <v>46</v>
      </c>
      <c r="D1090" s="20">
        <v>290</v>
      </c>
      <c r="E1090" s="38">
        <v>1000</v>
      </c>
      <c r="F1090" s="20" t="s">
        <v>8</v>
      </c>
      <c r="G1090" s="43">
        <v>15.9</v>
      </c>
      <c r="H1090" s="43">
        <v>16.5</v>
      </c>
      <c r="I1090" s="43">
        <v>0</v>
      </c>
      <c r="J1090" s="43">
        <v>0</v>
      </c>
      <c r="K1090" s="1">
        <f t="shared" ref="K1090" si="2105">(IF(F1090="SELL",G1090-H1090,IF(F1090="BUY",H1090-G1090)))*E1090</f>
        <v>599.99999999999966</v>
      </c>
      <c r="L1090" s="43">
        <v>0</v>
      </c>
      <c r="M1090" s="43">
        <v>0</v>
      </c>
      <c r="N1090" s="1">
        <f t="shared" si="2072"/>
        <v>0.59999999999999964</v>
      </c>
      <c r="O1090" s="1">
        <f t="shared" si="2073"/>
        <v>599.99999999999966</v>
      </c>
      <c r="P1090" s="31"/>
      <c r="Q1090" s="31"/>
      <c r="R1090" s="31"/>
      <c r="S1090" s="31"/>
      <c r="T1090" s="31"/>
      <c r="U1090" s="31"/>
      <c r="V1090" s="31"/>
      <c r="W1090" s="31"/>
      <c r="X1090" s="31"/>
      <c r="Y1090" s="31"/>
      <c r="Z1090" s="31"/>
      <c r="AA1090" s="31"/>
      <c r="AB1090" s="31"/>
      <c r="AC1090" s="31"/>
      <c r="AD1090" s="31"/>
      <c r="AE1090" s="31"/>
      <c r="AF1090" s="31"/>
      <c r="AG1090" s="31"/>
    </row>
    <row r="1091" spans="1:33" s="32" customFormat="1" ht="15" customHeight="1">
      <c r="A1091" s="37">
        <v>43777</v>
      </c>
      <c r="B1091" s="20" t="s">
        <v>30</v>
      </c>
      <c r="C1091" s="20" t="s">
        <v>47</v>
      </c>
      <c r="D1091" s="20">
        <v>500</v>
      </c>
      <c r="E1091" s="38">
        <v>1375</v>
      </c>
      <c r="F1091" s="20" t="s">
        <v>8</v>
      </c>
      <c r="G1091" s="43">
        <v>10.5</v>
      </c>
      <c r="H1091" s="43">
        <v>8.5</v>
      </c>
      <c r="I1091" s="43">
        <v>0</v>
      </c>
      <c r="J1091" s="43">
        <v>0</v>
      </c>
      <c r="K1091" s="1">
        <f t="shared" ref="K1091" si="2106">(IF(F1091="SELL",G1091-H1091,IF(F1091="BUY",H1091-G1091)))*E1091</f>
        <v>-2750</v>
      </c>
      <c r="L1091" s="43">
        <v>0</v>
      </c>
      <c r="M1091" s="43">
        <v>0</v>
      </c>
      <c r="N1091" s="1">
        <f t="shared" si="2072"/>
        <v>-2</v>
      </c>
      <c r="O1091" s="1">
        <f t="shared" si="2073"/>
        <v>-2750</v>
      </c>
      <c r="P1091" s="31"/>
      <c r="Q1091" s="31"/>
      <c r="R1091" s="31"/>
      <c r="S1091" s="31"/>
      <c r="T1091" s="31"/>
      <c r="U1091" s="31"/>
      <c r="V1091" s="31"/>
      <c r="W1091" s="31"/>
      <c r="X1091" s="31"/>
      <c r="Y1091" s="31"/>
      <c r="Z1091" s="31"/>
      <c r="AA1091" s="31"/>
      <c r="AB1091" s="31"/>
      <c r="AC1091" s="31"/>
      <c r="AD1091" s="31"/>
      <c r="AE1091" s="31"/>
      <c r="AF1091" s="31"/>
      <c r="AG1091" s="31"/>
    </row>
    <row r="1092" spans="1:33" s="32" customFormat="1" ht="15" customHeight="1">
      <c r="A1092" s="37">
        <v>43777</v>
      </c>
      <c r="B1092" s="20" t="s">
        <v>461</v>
      </c>
      <c r="C1092" s="20" t="s">
        <v>47</v>
      </c>
      <c r="D1092" s="20">
        <v>3250</v>
      </c>
      <c r="E1092" s="38">
        <v>250</v>
      </c>
      <c r="F1092" s="20" t="s">
        <v>8</v>
      </c>
      <c r="G1092" s="43">
        <v>98</v>
      </c>
      <c r="H1092" s="43">
        <v>90</v>
      </c>
      <c r="I1092" s="43">
        <v>0</v>
      </c>
      <c r="J1092" s="43">
        <v>0</v>
      </c>
      <c r="K1092" s="1">
        <f t="shared" ref="K1092" si="2107">(IF(F1092="SELL",G1092-H1092,IF(F1092="BUY",H1092-G1092)))*E1092</f>
        <v>-2000</v>
      </c>
      <c r="L1092" s="43">
        <v>0</v>
      </c>
      <c r="M1092" s="43">
        <v>0</v>
      </c>
      <c r="N1092" s="1">
        <f t="shared" si="2072"/>
        <v>-8</v>
      </c>
      <c r="O1092" s="1">
        <f t="shared" si="2073"/>
        <v>-2000</v>
      </c>
      <c r="P1092" s="31"/>
      <c r="Q1092" s="31"/>
      <c r="R1092" s="31"/>
      <c r="S1092" s="31"/>
      <c r="T1092" s="31"/>
      <c r="U1092" s="31"/>
      <c r="V1092" s="31"/>
      <c r="W1092" s="31"/>
      <c r="X1092" s="31"/>
      <c r="Y1092" s="31"/>
      <c r="Z1092" s="31"/>
      <c r="AA1092" s="31"/>
      <c r="AB1092" s="31"/>
      <c r="AC1092" s="31"/>
      <c r="AD1092" s="31"/>
      <c r="AE1092" s="31"/>
      <c r="AF1092" s="31"/>
      <c r="AG1092" s="31"/>
    </row>
    <row r="1093" spans="1:33" s="32" customFormat="1" ht="15" customHeight="1">
      <c r="A1093" s="37">
        <v>43776</v>
      </c>
      <c r="B1093" s="20" t="s">
        <v>402</v>
      </c>
      <c r="C1093" s="20" t="s">
        <v>47</v>
      </c>
      <c r="D1093" s="20">
        <v>1480</v>
      </c>
      <c r="E1093" s="38">
        <v>500</v>
      </c>
      <c r="F1093" s="20" t="s">
        <v>8</v>
      </c>
      <c r="G1093" s="43">
        <v>25.5</v>
      </c>
      <c r="H1093" s="43">
        <v>29.5</v>
      </c>
      <c r="I1093" s="43">
        <v>0</v>
      </c>
      <c r="J1093" s="43">
        <v>0</v>
      </c>
      <c r="K1093" s="1">
        <f t="shared" ref="K1093" si="2108">(IF(F1093="SELL",G1093-H1093,IF(F1093="BUY",H1093-G1093)))*E1093</f>
        <v>2000</v>
      </c>
      <c r="L1093" s="43">
        <v>0</v>
      </c>
      <c r="M1093" s="43">
        <v>0</v>
      </c>
      <c r="N1093" s="1">
        <f t="shared" si="2072"/>
        <v>4</v>
      </c>
      <c r="O1093" s="1">
        <f t="shared" si="2073"/>
        <v>2000</v>
      </c>
      <c r="P1093" s="31"/>
      <c r="Q1093" s="31"/>
      <c r="R1093" s="31"/>
      <c r="S1093" s="31"/>
      <c r="T1093" s="31"/>
      <c r="U1093" s="31"/>
      <c r="V1093" s="31"/>
      <c r="W1093" s="31"/>
      <c r="X1093" s="31"/>
      <c r="Y1093" s="31"/>
      <c r="Z1093" s="31"/>
      <c r="AA1093" s="31"/>
      <c r="AB1093" s="31"/>
      <c r="AC1093" s="31"/>
      <c r="AD1093" s="31"/>
      <c r="AE1093" s="31"/>
      <c r="AF1093" s="31"/>
      <c r="AG1093" s="31"/>
    </row>
    <row r="1094" spans="1:33" s="32" customFormat="1" ht="15" customHeight="1">
      <c r="A1094" s="37">
        <v>43776</v>
      </c>
      <c r="B1094" s="20" t="s">
        <v>43</v>
      </c>
      <c r="C1094" s="20" t="s">
        <v>47</v>
      </c>
      <c r="D1094" s="20">
        <v>1250</v>
      </c>
      <c r="E1094" s="38">
        <v>500</v>
      </c>
      <c r="F1094" s="20" t="s">
        <v>8</v>
      </c>
      <c r="G1094" s="43">
        <v>35</v>
      </c>
      <c r="H1094" s="43">
        <v>39.5</v>
      </c>
      <c r="I1094" s="43">
        <v>0</v>
      </c>
      <c r="J1094" s="43">
        <v>0</v>
      </c>
      <c r="K1094" s="1">
        <f t="shared" ref="K1094" si="2109">(IF(F1094="SELL",G1094-H1094,IF(F1094="BUY",H1094-G1094)))*E1094</f>
        <v>2250</v>
      </c>
      <c r="L1094" s="43">
        <v>0</v>
      </c>
      <c r="M1094" s="43">
        <v>0</v>
      </c>
      <c r="N1094" s="1">
        <f t="shared" si="2072"/>
        <v>4.5</v>
      </c>
      <c r="O1094" s="1">
        <f t="shared" si="2073"/>
        <v>2250</v>
      </c>
      <c r="P1094" s="31"/>
      <c r="Q1094" s="31"/>
      <c r="R1094" s="31"/>
      <c r="S1094" s="31"/>
      <c r="T1094" s="31"/>
      <c r="U1094" s="31"/>
      <c r="V1094" s="31"/>
      <c r="W1094" s="31"/>
      <c r="X1094" s="31"/>
      <c r="Y1094" s="31"/>
      <c r="Z1094" s="31"/>
      <c r="AA1094" s="31"/>
      <c r="AB1094" s="31"/>
      <c r="AC1094" s="31"/>
      <c r="AD1094" s="31"/>
      <c r="AE1094" s="31"/>
      <c r="AF1094" s="31"/>
      <c r="AG1094" s="31"/>
    </row>
    <row r="1095" spans="1:33" s="32" customFormat="1" ht="15" customHeight="1">
      <c r="A1095" s="37">
        <v>43776</v>
      </c>
      <c r="B1095" s="20" t="s">
        <v>417</v>
      </c>
      <c r="C1095" s="20" t="s">
        <v>46</v>
      </c>
      <c r="D1095" s="20">
        <v>280</v>
      </c>
      <c r="E1095" s="38">
        <v>1000</v>
      </c>
      <c r="F1095" s="20" t="s">
        <v>8</v>
      </c>
      <c r="G1095" s="43">
        <v>12.5</v>
      </c>
      <c r="H1095" s="43">
        <v>12.5</v>
      </c>
      <c r="I1095" s="43">
        <v>0</v>
      </c>
      <c r="J1095" s="43">
        <v>0</v>
      </c>
      <c r="K1095" s="1">
        <f t="shared" ref="K1095" si="2110">(IF(F1095="SELL",G1095-H1095,IF(F1095="BUY",H1095-G1095)))*E1095</f>
        <v>0</v>
      </c>
      <c r="L1095" s="43">
        <v>0</v>
      </c>
      <c r="M1095" s="43">
        <v>0</v>
      </c>
      <c r="N1095" s="1">
        <f t="shared" si="2072"/>
        <v>0</v>
      </c>
      <c r="O1095" s="1">
        <f t="shared" si="2073"/>
        <v>0</v>
      </c>
      <c r="P1095" s="31"/>
      <c r="Q1095" s="31"/>
      <c r="R1095" s="31"/>
      <c r="S1095" s="31"/>
      <c r="T1095" s="31"/>
      <c r="U1095" s="31"/>
      <c r="V1095" s="31"/>
      <c r="W1095" s="31"/>
      <c r="X1095" s="31"/>
      <c r="Y1095" s="31"/>
      <c r="Z1095" s="31"/>
      <c r="AA1095" s="31"/>
      <c r="AB1095" s="31"/>
      <c r="AC1095" s="31"/>
      <c r="AD1095" s="31"/>
      <c r="AE1095" s="31"/>
      <c r="AF1095" s="31"/>
      <c r="AG1095" s="31"/>
    </row>
    <row r="1096" spans="1:33" s="32" customFormat="1" ht="15" customHeight="1">
      <c r="A1096" s="37">
        <v>43775</v>
      </c>
      <c r="B1096" s="20" t="s">
        <v>386</v>
      </c>
      <c r="C1096" s="20" t="s">
        <v>47</v>
      </c>
      <c r="D1096" s="20">
        <v>1080</v>
      </c>
      <c r="E1096" s="38">
        <v>750</v>
      </c>
      <c r="F1096" s="20" t="s">
        <v>8</v>
      </c>
      <c r="G1096" s="43">
        <v>12</v>
      </c>
      <c r="H1096" s="43">
        <v>15</v>
      </c>
      <c r="I1096" s="43">
        <v>17.3</v>
      </c>
      <c r="J1096" s="43">
        <v>0</v>
      </c>
      <c r="K1096" s="1">
        <f t="shared" ref="K1096" si="2111">(IF(F1096="SELL",G1096-H1096,IF(F1096="BUY",H1096-G1096)))*E1096</f>
        <v>2250</v>
      </c>
      <c r="L1096" s="43">
        <f>E1096*2.3</f>
        <v>1724.9999999999998</v>
      </c>
      <c r="M1096" s="43">
        <v>0</v>
      </c>
      <c r="N1096" s="1">
        <f t="shared" si="2072"/>
        <v>5.3</v>
      </c>
      <c r="O1096" s="1">
        <f t="shared" si="2073"/>
        <v>3975</v>
      </c>
      <c r="P1096" s="31"/>
      <c r="Q1096" s="31"/>
      <c r="R1096" s="31"/>
      <c r="S1096" s="31"/>
      <c r="T1096" s="31"/>
      <c r="U1096" s="31"/>
      <c r="V1096" s="31"/>
      <c r="W1096" s="31"/>
      <c r="X1096" s="31"/>
      <c r="Y1096" s="31"/>
      <c r="Z1096" s="31"/>
      <c r="AA1096" s="31"/>
      <c r="AB1096" s="31"/>
      <c r="AC1096" s="31"/>
      <c r="AD1096" s="31"/>
      <c r="AE1096" s="31"/>
      <c r="AF1096" s="31"/>
      <c r="AG1096" s="31"/>
    </row>
    <row r="1097" spans="1:33" s="32" customFormat="1" ht="15" customHeight="1">
      <c r="A1097" s="37">
        <v>43775</v>
      </c>
      <c r="B1097" s="20" t="s">
        <v>446</v>
      </c>
      <c r="C1097" s="20" t="s">
        <v>47</v>
      </c>
      <c r="D1097" s="20">
        <v>2180</v>
      </c>
      <c r="E1097" s="38">
        <v>300</v>
      </c>
      <c r="F1097" s="20" t="s">
        <v>8</v>
      </c>
      <c r="G1097" s="43">
        <v>48</v>
      </c>
      <c r="H1097" s="43">
        <v>48</v>
      </c>
      <c r="I1097" s="43">
        <v>0</v>
      </c>
      <c r="J1097" s="43">
        <v>0</v>
      </c>
      <c r="K1097" s="1">
        <f t="shared" ref="K1097" si="2112">(IF(F1097="SELL",G1097-H1097,IF(F1097="BUY",H1097-G1097)))*E1097</f>
        <v>0</v>
      </c>
      <c r="L1097" s="43">
        <v>0</v>
      </c>
      <c r="M1097" s="43">
        <v>0</v>
      </c>
      <c r="N1097" s="1">
        <f t="shared" si="2072"/>
        <v>0</v>
      </c>
      <c r="O1097" s="1">
        <f t="shared" si="2073"/>
        <v>0</v>
      </c>
      <c r="P1097" s="31"/>
      <c r="Q1097" s="31"/>
      <c r="R1097" s="31"/>
      <c r="S1097" s="31"/>
      <c r="T1097" s="31"/>
      <c r="U1097" s="31"/>
      <c r="V1097" s="31"/>
      <c r="W1097" s="31"/>
      <c r="X1097" s="31"/>
      <c r="Y1097" s="31"/>
      <c r="Z1097" s="31"/>
      <c r="AA1097" s="31"/>
      <c r="AB1097" s="31"/>
      <c r="AC1097" s="31"/>
      <c r="AD1097" s="31"/>
      <c r="AE1097" s="31"/>
      <c r="AF1097" s="31"/>
      <c r="AG1097" s="31"/>
    </row>
    <row r="1098" spans="1:33" s="32" customFormat="1" ht="15" customHeight="1">
      <c r="A1098" s="37">
        <v>43775</v>
      </c>
      <c r="B1098" s="20" t="s">
        <v>462</v>
      </c>
      <c r="C1098" s="20" t="s">
        <v>47</v>
      </c>
      <c r="D1098" s="20">
        <v>2700</v>
      </c>
      <c r="E1098" s="38">
        <v>250</v>
      </c>
      <c r="F1098" s="20" t="s">
        <v>8</v>
      </c>
      <c r="G1098" s="43">
        <v>83</v>
      </c>
      <c r="H1098" s="43">
        <v>78</v>
      </c>
      <c r="I1098" s="43">
        <v>0</v>
      </c>
      <c r="J1098" s="43">
        <v>0</v>
      </c>
      <c r="K1098" s="1">
        <f t="shared" ref="K1098:K1101" si="2113">(IF(F1098="SELL",G1098-H1098,IF(F1098="BUY",H1098-G1098)))*E1098</f>
        <v>-1250</v>
      </c>
      <c r="L1098" s="43">
        <v>0</v>
      </c>
      <c r="M1098" s="43">
        <v>0</v>
      </c>
      <c r="N1098" s="1">
        <f t="shared" si="2072"/>
        <v>-5</v>
      </c>
      <c r="O1098" s="1">
        <f t="shared" si="2073"/>
        <v>-1250</v>
      </c>
      <c r="P1098" s="31"/>
      <c r="Q1098" s="31"/>
      <c r="R1098" s="31"/>
      <c r="S1098" s="31"/>
      <c r="T1098" s="31"/>
      <c r="U1098" s="31"/>
      <c r="V1098" s="31"/>
      <c r="W1098" s="31"/>
      <c r="X1098" s="31"/>
      <c r="Y1098" s="31"/>
      <c r="Z1098" s="31"/>
      <c r="AA1098" s="31"/>
      <c r="AB1098" s="31"/>
      <c r="AC1098" s="31"/>
      <c r="AD1098" s="31"/>
      <c r="AE1098" s="31"/>
      <c r="AF1098" s="31"/>
      <c r="AG1098" s="31"/>
    </row>
    <row r="1099" spans="1:33" s="32" customFormat="1" ht="15" customHeight="1">
      <c r="A1099" s="37">
        <v>43774</v>
      </c>
      <c r="B1099" s="20" t="s">
        <v>413</v>
      </c>
      <c r="C1099" s="20" t="s">
        <v>47</v>
      </c>
      <c r="D1099" s="20">
        <v>280</v>
      </c>
      <c r="E1099" s="38">
        <v>800</v>
      </c>
      <c r="F1099" s="20" t="s">
        <v>8</v>
      </c>
      <c r="G1099" s="43">
        <v>17.8</v>
      </c>
      <c r="H1099" s="43">
        <v>17.8</v>
      </c>
      <c r="I1099" s="43">
        <v>120</v>
      </c>
      <c r="J1099" s="43">
        <v>0</v>
      </c>
      <c r="K1099" s="1">
        <f t="shared" si="2113"/>
        <v>0</v>
      </c>
      <c r="L1099" s="43">
        <v>0</v>
      </c>
      <c r="M1099" s="43">
        <v>0</v>
      </c>
      <c r="N1099" s="1">
        <f t="shared" si="2072"/>
        <v>0</v>
      </c>
      <c r="O1099" s="1">
        <f t="shared" si="2073"/>
        <v>0</v>
      </c>
      <c r="P1099" s="31"/>
      <c r="Q1099" s="31"/>
      <c r="R1099" s="31"/>
      <c r="S1099" s="31"/>
      <c r="T1099" s="31"/>
      <c r="U1099" s="31"/>
      <c r="V1099" s="31"/>
      <c r="W1099" s="31"/>
      <c r="X1099" s="31"/>
      <c r="Y1099" s="31"/>
      <c r="Z1099" s="31"/>
      <c r="AA1099" s="31"/>
      <c r="AB1099" s="31"/>
      <c r="AC1099" s="31"/>
      <c r="AD1099" s="31"/>
      <c r="AE1099" s="31"/>
      <c r="AF1099" s="31"/>
      <c r="AG1099" s="31"/>
    </row>
    <row r="1100" spans="1:33" s="32" customFormat="1" ht="15" customHeight="1">
      <c r="A1100" s="37">
        <v>43774</v>
      </c>
      <c r="B1100" s="20" t="s">
        <v>21</v>
      </c>
      <c r="C1100" s="20" t="s">
        <v>47</v>
      </c>
      <c r="D1100" s="20">
        <v>345</v>
      </c>
      <c r="E1100" s="38">
        <v>3000</v>
      </c>
      <c r="F1100" s="20" t="s">
        <v>8</v>
      </c>
      <c r="G1100" s="43">
        <v>4.8</v>
      </c>
      <c r="H1100" s="43">
        <v>3.5</v>
      </c>
      <c r="I1100" s="43">
        <v>0</v>
      </c>
      <c r="J1100" s="43">
        <v>0</v>
      </c>
      <c r="K1100" s="1">
        <f t="shared" ref="K1100" si="2114">(IF(F1100="SELL",G1100-H1100,IF(F1100="BUY",H1100-G1100)))*E1100</f>
        <v>-3899.9999999999995</v>
      </c>
      <c r="L1100" s="43">
        <v>0</v>
      </c>
      <c r="M1100" s="43">
        <v>0</v>
      </c>
      <c r="N1100" s="1">
        <f t="shared" si="2072"/>
        <v>-1.2999999999999998</v>
      </c>
      <c r="O1100" s="1">
        <f t="shared" si="2073"/>
        <v>-3899.9999999999995</v>
      </c>
      <c r="P1100" s="31"/>
      <c r="Q1100" s="31"/>
      <c r="R1100" s="31"/>
      <c r="S1100" s="31"/>
      <c r="T1100" s="31"/>
      <c r="U1100" s="31"/>
      <c r="V1100" s="31"/>
      <c r="W1100" s="31"/>
      <c r="X1100" s="31"/>
      <c r="Y1100" s="31"/>
      <c r="Z1100" s="31"/>
      <c r="AA1100" s="31"/>
      <c r="AB1100" s="31"/>
      <c r="AC1100" s="31"/>
      <c r="AD1100" s="31"/>
      <c r="AE1100" s="31"/>
      <c r="AF1100" s="31"/>
      <c r="AG1100" s="31"/>
    </row>
    <row r="1101" spans="1:33" s="32" customFormat="1" ht="15" customHeight="1">
      <c r="A1101" s="37">
        <v>43774</v>
      </c>
      <c r="B1101" s="20" t="s">
        <v>463</v>
      </c>
      <c r="C1101" s="20" t="s">
        <v>46</v>
      </c>
      <c r="D1101" s="20">
        <v>440</v>
      </c>
      <c r="E1101" s="38">
        <v>1000</v>
      </c>
      <c r="F1101" s="20" t="s">
        <v>8</v>
      </c>
      <c r="G1101" s="43">
        <v>14</v>
      </c>
      <c r="H1101" s="43">
        <v>14</v>
      </c>
      <c r="I1101" s="43">
        <v>0</v>
      </c>
      <c r="J1101" s="43">
        <v>0</v>
      </c>
      <c r="K1101" s="1">
        <f t="shared" si="2113"/>
        <v>0</v>
      </c>
      <c r="L1101" s="43">
        <v>0</v>
      </c>
      <c r="M1101" s="43">
        <v>0</v>
      </c>
      <c r="N1101" s="1">
        <f t="shared" si="2072"/>
        <v>0</v>
      </c>
      <c r="O1101" s="1">
        <f t="shared" si="2073"/>
        <v>0</v>
      </c>
      <c r="P1101" s="31"/>
      <c r="Q1101" s="31"/>
      <c r="R1101" s="31"/>
      <c r="S1101" s="31"/>
      <c r="T1101" s="31"/>
      <c r="U1101" s="31"/>
      <c r="V1101" s="31"/>
      <c r="W1101" s="31"/>
      <c r="X1101" s="31"/>
      <c r="Y1101" s="31"/>
      <c r="Z1101" s="31"/>
      <c r="AA1101" s="31"/>
      <c r="AB1101" s="31"/>
      <c r="AC1101" s="31"/>
      <c r="AD1101" s="31"/>
      <c r="AE1101" s="31"/>
      <c r="AF1101" s="31"/>
      <c r="AG1101" s="31"/>
    </row>
    <row r="1102" spans="1:33" s="32" customFormat="1" ht="15" customHeight="1">
      <c r="A1102" s="37">
        <v>43773</v>
      </c>
      <c r="B1102" s="20" t="s">
        <v>415</v>
      </c>
      <c r="C1102" s="20" t="s">
        <v>46</v>
      </c>
      <c r="D1102" s="20">
        <v>2700</v>
      </c>
      <c r="E1102" s="38">
        <v>200</v>
      </c>
      <c r="F1102" s="20" t="s">
        <v>8</v>
      </c>
      <c r="G1102" s="43">
        <v>99</v>
      </c>
      <c r="H1102" s="43">
        <v>108.8</v>
      </c>
      <c r="I1102" s="43">
        <v>120</v>
      </c>
      <c r="J1102" s="43">
        <v>0</v>
      </c>
      <c r="K1102" s="1">
        <f t="shared" ref="K1102" si="2115">(IF(F1102="SELL",G1102-H1102,IF(F1102="BUY",H1102-G1102)))*E1102</f>
        <v>1959.9999999999995</v>
      </c>
      <c r="L1102" s="43">
        <f>E1102*12</f>
        <v>2400</v>
      </c>
      <c r="M1102" s="43">
        <v>0</v>
      </c>
      <c r="N1102" s="1">
        <f t="shared" si="2072"/>
        <v>21.8</v>
      </c>
      <c r="O1102" s="1">
        <f t="shared" si="2073"/>
        <v>4360</v>
      </c>
      <c r="P1102" s="31"/>
      <c r="Q1102" s="31"/>
      <c r="R1102" s="31"/>
      <c r="S1102" s="31"/>
      <c r="T1102" s="31"/>
      <c r="U1102" s="31"/>
      <c r="V1102" s="31"/>
      <c r="W1102" s="31"/>
      <c r="X1102" s="31"/>
      <c r="Y1102" s="31"/>
      <c r="Z1102" s="31"/>
      <c r="AA1102" s="31"/>
      <c r="AB1102" s="31"/>
      <c r="AC1102" s="31"/>
      <c r="AD1102" s="31"/>
      <c r="AE1102" s="31"/>
      <c r="AF1102" s="31"/>
      <c r="AG1102" s="31"/>
    </row>
    <row r="1103" spans="1:33" s="32" customFormat="1" ht="15" customHeight="1">
      <c r="A1103" s="37">
        <v>43773</v>
      </c>
      <c r="B1103" s="20" t="s">
        <v>399</v>
      </c>
      <c r="C1103" s="20" t="s">
        <v>47</v>
      </c>
      <c r="D1103" s="20">
        <v>330</v>
      </c>
      <c r="E1103" s="38">
        <v>2700</v>
      </c>
      <c r="F1103" s="20" t="s">
        <v>8</v>
      </c>
      <c r="G1103" s="43">
        <v>5</v>
      </c>
      <c r="H1103" s="43">
        <v>4.5</v>
      </c>
      <c r="I1103" s="43">
        <v>0</v>
      </c>
      <c r="J1103" s="43">
        <v>0</v>
      </c>
      <c r="K1103" s="1">
        <f t="shared" ref="K1103" si="2116">(IF(F1103="SELL",G1103-H1103,IF(F1103="BUY",H1103-G1103)))*E1103</f>
        <v>-1350</v>
      </c>
      <c r="L1103" s="43">
        <v>0</v>
      </c>
      <c r="M1103" s="43">
        <v>0</v>
      </c>
      <c r="N1103" s="1">
        <f t="shared" si="2072"/>
        <v>-0.5</v>
      </c>
      <c r="O1103" s="1">
        <f t="shared" si="2073"/>
        <v>-1350</v>
      </c>
      <c r="P1103" s="31"/>
      <c r="Q1103" s="31"/>
      <c r="R1103" s="31"/>
      <c r="S1103" s="31"/>
      <c r="T1103" s="31"/>
      <c r="U1103" s="31"/>
      <c r="V1103" s="31"/>
      <c r="W1103" s="31"/>
      <c r="X1103" s="31"/>
      <c r="Y1103" s="31"/>
      <c r="Z1103" s="31"/>
      <c r="AA1103" s="31"/>
      <c r="AB1103" s="31"/>
      <c r="AC1103" s="31"/>
      <c r="AD1103" s="31"/>
      <c r="AE1103" s="31"/>
      <c r="AF1103" s="31"/>
      <c r="AG1103" s="31"/>
    </row>
    <row r="1104" spans="1:33" s="32" customFormat="1" ht="15" customHeight="1">
      <c r="A1104" s="37">
        <v>43770</v>
      </c>
      <c r="B1104" s="20" t="s">
        <v>60</v>
      </c>
      <c r="C1104" s="20" t="s">
        <v>46</v>
      </c>
      <c r="D1104" s="20">
        <v>145</v>
      </c>
      <c r="E1104" s="38">
        <v>3000</v>
      </c>
      <c r="F1104" s="20" t="s">
        <v>8</v>
      </c>
      <c r="G1104" s="43">
        <v>7.2</v>
      </c>
      <c r="H1104" s="43">
        <v>7.7</v>
      </c>
      <c r="I1104" s="43">
        <v>0</v>
      </c>
      <c r="J1104" s="43">
        <v>0</v>
      </c>
      <c r="K1104" s="1">
        <f t="shared" ref="K1104" si="2117">(IF(F1104="SELL",G1104-H1104,IF(F1104="BUY",H1104-G1104)))*E1104</f>
        <v>1500</v>
      </c>
      <c r="L1104" s="43">
        <v>0</v>
      </c>
      <c r="M1104" s="43">
        <v>0</v>
      </c>
      <c r="N1104" s="1">
        <f t="shared" si="2072"/>
        <v>0.5</v>
      </c>
      <c r="O1104" s="1">
        <f t="shared" si="2073"/>
        <v>1500</v>
      </c>
      <c r="P1104" s="31"/>
      <c r="Q1104" s="31"/>
      <c r="R1104" s="31"/>
      <c r="S1104" s="31"/>
      <c r="T1104" s="31"/>
      <c r="U1104" s="31"/>
      <c r="V1104" s="31"/>
      <c r="W1104" s="31"/>
      <c r="X1104" s="31"/>
      <c r="Y1104" s="31"/>
      <c r="Z1104" s="31"/>
      <c r="AA1104" s="31"/>
      <c r="AB1104" s="31"/>
      <c r="AC1104" s="31"/>
      <c r="AD1104" s="31"/>
      <c r="AE1104" s="31"/>
      <c r="AF1104" s="31"/>
      <c r="AG1104" s="31"/>
    </row>
    <row r="1105" spans="1:33" s="32" customFormat="1" ht="15" customHeight="1">
      <c r="A1105" s="37">
        <v>43770</v>
      </c>
      <c r="B1105" s="20" t="s">
        <v>175</v>
      </c>
      <c r="C1105" s="20" t="s">
        <v>47</v>
      </c>
      <c r="D1105" s="20">
        <v>4500</v>
      </c>
      <c r="E1105" s="38">
        <v>250</v>
      </c>
      <c r="F1105" s="20" t="s">
        <v>8</v>
      </c>
      <c r="G1105" s="43">
        <v>42</v>
      </c>
      <c r="H1105" s="43">
        <v>35</v>
      </c>
      <c r="I1105" s="43">
        <v>0</v>
      </c>
      <c r="J1105" s="43">
        <v>0</v>
      </c>
      <c r="K1105" s="1">
        <f t="shared" ref="K1105" si="2118">(IF(F1105="SELL",G1105-H1105,IF(F1105="BUY",H1105-G1105)))*E1105</f>
        <v>-1750</v>
      </c>
      <c r="L1105" s="43">
        <v>0</v>
      </c>
      <c r="M1105" s="43">
        <v>0</v>
      </c>
      <c r="N1105" s="1">
        <f t="shared" si="2072"/>
        <v>-7</v>
      </c>
      <c r="O1105" s="1">
        <f t="shared" si="2073"/>
        <v>-1750</v>
      </c>
      <c r="P1105" s="31"/>
      <c r="Q1105" s="31"/>
      <c r="R1105" s="31"/>
      <c r="S1105" s="31"/>
      <c r="T1105" s="31"/>
      <c r="U1105" s="31"/>
      <c r="V1105" s="31"/>
      <c r="W1105" s="31"/>
      <c r="X1105" s="31"/>
      <c r="Y1105" s="31"/>
      <c r="Z1105" s="31"/>
      <c r="AA1105" s="31"/>
      <c r="AB1105" s="31"/>
      <c r="AC1105" s="31"/>
      <c r="AD1105" s="31"/>
      <c r="AE1105" s="31"/>
      <c r="AF1105" s="31"/>
      <c r="AG1105" s="31"/>
    </row>
    <row r="1106" spans="1:33" s="32" customFormat="1" ht="15" customHeight="1">
      <c r="A1106" s="37">
        <v>43769</v>
      </c>
      <c r="B1106" s="20" t="s">
        <v>461</v>
      </c>
      <c r="C1106" s="20" t="s">
        <v>47</v>
      </c>
      <c r="D1106" s="20">
        <v>3200</v>
      </c>
      <c r="E1106" s="38">
        <v>250</v>
      </c>
      <c r="F1106" s="20" t="s">
        <v>8</v>
      </c>
      <c r="G1106" s="43">
        <v>35</v>
      </c>
      <c r="H1106" s="43">
        <v>50</v>
      </c>
      <c r="I1106" s="43">
        <v>65</v>
      </c>
      <c r="J1106" s="43">
        <v>0</v>
      </c>
      <c r="K1106" s="1">
        <f t="shared" ref="K1106" si="2119">(IF(F1106="SELL",G1106-H1106,IF(F1106="BUY",H1106-G1106)))*E1106</f>
        <v>3750</v>
      </c>
      <c r="L1106" s="43">
        <f>E1106*15</f>
        <v>3750</v>
      </c>
      <c r="M1106" s="43">
        <v>0</v>
      </c>
      <c r="N1106" s="1">
        <f t="shared" si="2072"/>
        <v>30</v>
      </c>
      <c r="O1106" s="1">
        <f t="shared" si="2073"/>
        <v>7500</v>
      </c>
      <c r="P1106" s="31"/>
      <c r="Q1106" s="31"/>
      <c r="R1106" s="31"/>
      <c r="S1106" s="31"/>
      <c r="T1106" s="31"/>
      <c r="U1106" s="31"/>
      <c r="V1106" s="31"/>
      <c r="W1106" s="31"/>
      <c r="X1106" s="31"/>
      <c r="Y1106" s="31"/>
      <c r="Z1106" s="31"/>
      <c r="AA1106" s="31"/>
      <c r="AB1106" s="31"/>
      <c r="AC1106" s="31"/>
      <c r="AD1106" s="31"/>
      <c r="AE1106" s="31"/>
      <c r="AF1106" s="31"/>
      <c r="AG1106" s="31"/>
    </row>
    <row r="1107" spans="1:33" s="32" customFormat="1" ht="15" customHeight="1">
      <c r="A1107" s="37">
        <v>43769</v>
      </c>
      <c r="B1107" s="20" t="s">
        <v>37</v>
      </c>
      <c r="C1107" s="20" t="s">
        <v>47</v>
      </c>
      <c r="D1107" s="20">
        <v>2240</v>
      </c>
      <c r="E1107" s="38">
        <v>250</v>
      </c>
      <c r="F1107" s="20" t="s">
        <v>8</v>
      </c>
      <c r="G1107" s="43">
        <v>22</v>
      </c>
      <c r="H1107" s="43">
        <v>35</v>
      </c>
      <c r="I1107" s="43">
        <v>0</v>
      </c>
      <c r="J1107" s="43">
        <v>0</v>
      </c>
      <c r="K1107" s="1">
        <f t="shared" ref="K1107" si="2120">(IF(F1107="SELL",G1107-H1107,IF(F1107="BUY",H1107-G1107)))*E1107</f>
        <v>3250</v>
      </c>
      <c r="L1107" s="43">
        <v>0</v>
      </c>
      <c r="M1107" s="43">
        <v>0</v>
      </c>
      <c r="N1107" s="1">
        <f t="shared" si="2072"/>
        <v>13</v>
      </c>
      <c r="O1107" s="1">
        <f t="shared" si="2073"/>
        <v>3250</v>
      </c>
      <c r="P1107" s="31"/>
      <c r="Q1107" s="31"/>
      <c r="R1107" s="31"/>
      <c r="S1107" s="31"/>
      <c r="T1107" s="31"/>
      <c r="U1107" s="31"/>
      <c r="V1107" s="31"/>
      <c r="W1107" s="31"/>
      <c r="X1107" s="31"/>
      <c r="Y1107" s="31"/>
      <c r="Z1107" s="31"/>
      <c r="AA1107" s="31"/>
      <c r="AB1107" s="31"/>
      <c r="AC1107" s="31"/>
      <c r="AD1107" s="31"/>
      <c r="AE1107" s="31"/>
      <c r="AF1107" s="31"/>
      <c r="AG1107" s="31"/>
    </row>
    <row r="1108" spans="1:33" s="32" customFormat="1" ht="15" customHeight="1">
      <c r="A1108" s="37">
        <v>43769</v>
      </c>
      <c r="B1108" s="20" t="s">
        <v>190</v>
      </c>
      <c r="C1108" s="20" t="s">
        <v>47</v>
      </c>
      <c r="D1108" s="20">
        <v>1800</v>
      </c>
      <c r="E1108" s="38">
        <v>550</v>
      </c>
      <c r="F1108" s="20" t="s">
        <v>8</v>
      </c>
      <c r="G1108" s="43">
        <v>8</v>
      </c>
      <c r="H1108" s="43">
        <v>12</v>
      </c>
      <c r="I1108" s="43">
        <v>16</v>
      </c>
      <c r="J1108" s="43">
        <v>0</v>
      </c>
      <c r="K1108" s="1">
        <f t="shared" ref="K1108" si="2121">(IF(F1108="SELL",G1108-H1108,IF(F1108="BUY",H1108-G1108)))*E1108</f>
        <v>2200</v>
      </c>
      <c r="L1108" s="43">
        <f>E1108*4</f>
        <v>2200</v>
      </c>
      <c r="M1108" s="43">
        <v>0</v>
      </c>
      <c r="N1108" s="1">
        <f t="shared" si="2072"/>
        <v>8</v>
      </c>
      <c r="O1108" s="1">
        <f t="shared" si="2073"/>
        <v>4400</v>
      </c>
      <c r="P1108" s="31"/>
      <c r="Q1108" s="31"/>
      <c r="R1108" s="31"/>
      <c r="S1108" s="31"/>
      <c r="T1108" s="31"/>
      <c r="U1108" s="31"/>
      <c r="V1108" s="31"/>
      <c r="W1108" s="31"/>
      <c r="X1108" s="31"/>
      <c r="Y1108" s="31"/>
      <c r="Z1108" s="31"/>
      <c r="AA1108" s="31"/>
      <c r="AB1108" s="31"/>
      <c r="AC1108" s="31"/>
      <c r="AD1108" s="31"/>
      <c r="AE1108" s="31"/>
      <c r="AF1108" s="31"/>
      <c r="AG1108" s="31"/>
    </row>
    <row r="1109" spans="1:33" s="32" customFormat="1" ht="15" customHeight="1">
      <c r="A1109" s="37">
        <v>43768</v>
      </c>
      <c r="B1109" s="20" t="s">
        <v>43</v>
      </c>
      <c r="C1109" s="20" t="s">
        <v>47</v>
      </c>
      <c r="D1109" s="20">
        <v>1250</v>
      </c>
      <c r="E1109" s="38">
        <v>500</v>
      </c>
      <c r="F1109" s="20" t="s">
        <v>8</v>
      </c>
      <c r="G1109" s="43">
        <v>14</v>
      </c>
      <c r="H1109" s="43">
        <v>8</v>
      </c>
      <c r="I1109" s="43">
        <v>0</v>
      </c>
      <c r="J1109" s="43">
        <v>0</v>
      </c>
      <c r="K1109" s="1">
        <f t="shared" ref="K1109" si="2122">(IF(F1109="SELL",G1109-H1109,IF(F1109="BUY",H1109-G1109)))*E1109</f>
        <v>-3000</v>
      </c>
      <c r="L1109" s="43">
        <v>0</v>
      </c>
      <c r="M1109" s="43">
        <v>0</v>
      </c>
      <c r="N1109" s="1">
        <f t="shared" si="2072"/>
        <v>-6</v>
      </c>
      <c r="O1109" s="1">
        <f t="shared" si="2073"/>
        <v>-3000</v>
      </c>
      <c r="P1109" s="31"/>
      <c r="Q1109" s="31"/>
      <c r="R1109" s="31"/>
      <c r="S1109" s="31"/>
      <c r="T1109" s="31"/>
      <c r="U1109" s="31"/>
      <c r="V1109" s="31"/>
      <c r="W1109" s="31"/>
      <c r="X1109" s="31"/>
      <c r="Y1109" s="31"/>
      <c r="Z1109" s="31"/>
      <c r="AA1109" s="31"/>
      <c r="AB1109" s="31"/>
      <c r="AC1109" s="31"/>
      <c r="AD1109" s="31"/>
      <c r="AE1109" s="31"/>
      <c r="AF1109" s="31"/>
      <c r="AG1109" s="31"/>
    </row>
    <row r="1110" spans="1:33" s="32" customFormat="1" ht="15" customHeight="1">
      <c r="A1110" s="37">
        <v>43768</v>
      </c>
      <c r="B1110" s="20" t="s">
        <v>56</v>
      </c>
      <c r="C1110" s="20" t="s">
        <v>47</v>
      </c>
      <c r="D1110" s="20">
        <v>30600</v>
      </c>
      <c r="E1110" s="38">
        <v>40</v>
      </c>
      <c r="F1110" s="20" t="s">
        <v>8</v>
      </c>
      <c r="G1110" s="43">
        <v>50</v>
      </c>
      <c r="H1110" s="43">
        <v>12</v>
      </c>
      <c r="I1110" s="43">
        <v>0</v>
      </c>
      <c r="J1110" s="43">
        <v>0</v>
      </c>
      <c r="K1110" s="1">
        <f t="shared" ref="K1110" si="2123">(IF(F1110="SELL",G1110-H1110,IF(F1110="BUY",H1110-G1110)))*E1110</f>
        <v>-1520</v>
      </c>
      <c r="L1110" s="43">
        <v>0</v>
      </c>
      <c r="M1110" s="43">
        <v>0</v>
      </c>
      <c r="N1110" s="1">
        <f t="shared" si="2072"/>
        <v>-38</v>
      </c>
      <c r="O1110" s="1">
        <f t="shared" si="2073"/>
        <v>-1520</v>
      </c>
      <c r="P1110" s="31"/>
      <c r="Q1110" s="31"/>
      <c r="R1110" s="31"/>
      <c r="S1110" s="31"/>
      <c r="T1110" s="31"/>
      <c r="U1110" s="31"/>
      <c r="V1110" s="31"/>
      <c r="W1110" s="31"/>
      <c r="X1110" s="31"/>
      <c r="Y1110" s="31"/>
      <c r="Z1110" s="31"/>
      <c r="AA1110" s="31"/>
      <c r="AB1110" s="31"/>
      <c r="AC1110" s="31"/>
      <c r="AD1110" s="31"/>
      <c r="AE1110" s="31"/>
      <c r="AF1110" s="31"/>
      <c r="AG1110" s="31"/>
    </row>
    <row r="1111" spans="1:33" s="32" customFormat="1" ht="15" customHeight="1">
      <c r="A1111" s="37">
        <v>43768</v>
      </c>
      <c r="B1111" s="20" t="s">
        <v>399</v>
      </c>
      <c r="C1111" s="20" t="s">
        <v>47</v>
      </c>
      <c r="D1111" s="20">
        <v>300</v>
      </c>
      <c r="E1111" s="38">
        <v>2700</v>
      </c>
      <c r="F1111" s="20" t="s">
        <v>8</v>
      </c>
      <c r="G1111" s="43">
        <v>3.2</v>
      </c>
      <c r="H1111" s="43">
        <v>3.2</v>
      </c>
      <c r="I1111" s="43">
        <v>0</v>
      </c>
      <c r="J1111" s="43">
        <v>0</v>
      </c>
      <c r="K1111" s="1">
        <f t="shared" ref="K1111" si="2124">(IF(F1111="SELL",G1111-H1111,IF(F1111="BUY",H1111-G1111)))*E1111</f>
        <v>0</v>
      </c>
      <c r="L1111" s="43">
        <v>0</v>
      </c>
      <c r="M1111" s="43">
        <v>0</v>
      </c>
      <c r="N1111" s="1">
        <f t="shared" si="2072"/>
        <v>0</v>
      </c>
      <c r="O1111" s="1">
        <f t="shared" si="2073"/>
        <v>0</v>
      </c>
      <c r="P1111" s="31"/>
      <c r="Q1111" s="31"/>
      <c r="R1111" s="31"/>
      <c r="S1111" s="31"/>
      <c r="T1111" s="31"/>
      <c r="U1111" s="31"/>
      <c r="V1111" s="31"/>
      <c r="W1111" s="31"/>
      <c r="X1111" s="31"/>
      <c r="Y1111" s="31"/>
      <c r="Z1111" s="31"/>
      <c r="AA1111" s="31"/>
      <c r="AB1111" s="31"/>
      <c r="AC1111" s="31"/>
      <c r="AD1111" s="31"/>
      <c r="AE1111" s="31"/>
      <c r="AF1111" s="31"/>
      <c r="AG1111" s="31"/>
    </row>
    <row r="1112" spans="1:33" s="32" customFormat="1" ht="15" customHeight="1">
      <c r="A1112" s="37">
        <v>43767</v>
      </c>
      <c r="B1112" s="20" t="s">
        <v>190</v>
      </c>
      <c r="C1112" s="20" t="s">
        <v>47</v>
      </c>
      <c r="D1112" s="20">
        <v>470</v>
      </c>
      <c r="E1112" s="38">
        <v>550</v>
      </c>
      <c r="F1112" s="20" t="s">
        <v>8</v>
      </c>
      <c r="G1112" s="43">
        <v>17</v>
      </c>
      <c r="H1112" s="43">
        <v>22</v>
      </c>
      <c r="I1112" s="43">
        <v>0</v>
      </c>
      <c r="J1112" s="43">
        <v>0</v>
      </c>
      <c r="K1112" s="1">
        <f t="shared" ref="K1112" si="2125">(IF(F1112="SELL",G1112-H1112,IF(F1112="BUY",H1112-G1112)))*E1112</f>
        <v>2750</v>
      </c>
      <c r="L1112" s="43">
        <v>0</v>
      </c>
      <c r="M1112" s="43">
        <v>0</v>
      </c>
      <c r="N1112" s="1">
        <f t="shared" si="2072"/>
        <v>5</v>
      </c>
      <c r="O1112" s="1">
        <f t="shared" si="2073"/>
        <v>2750</v>
      </c>
      <c r="P1112" s="31"/>
      <c r="Q1112" s="31"/>
      <c r="R1112" s="31"/>
      <c r="S1112" s="31"/>
      <c r="T1112" s="31"/>
      <c r="U1112" s="31"/>
      <c r="V1112" s="31"/>
      <c r="W1112" s="31"/>
      <c r="X1112" s="31"/>
      <c r="Y1112" s="31"/>
      <c r="Z1112" s="31"/>
      <c r="AA1112" s="31"/>
      <c r="AB1112" s="31"/>
      <c r="AC1112" s="31"/>
      <c r="AD1112" s="31"/>
      <c r="AE1112" s="31"/>
      <c r="AF1112" s="31"/>
      <c r="AG1112" s="31"/>
    </row>
    <row r="1113" spans="1:33" s="32" customFormat="1" ht="15" customHeight="1">
      <c r="A1113" s="37">
        <v>43767</v>
      </c>
      <c r="B1113" s="20" t="s">
        <v>39</v>
      </c>
      <c r="C1113" s="20" t="s">
        <v>47</v>
      </c>
      <c r="D1113" s="20">
        <v>1460</v>
      </c>
      <c r="E1113" s="38">
        <v>500</v>
      </c>
      <c r="F1113" s="20" t="s">
        <v>8</v>
      </c>
      <c r="G1113" s="43">
        <v>12.5</v>
      </c>
      <c r="H1113" s="43">
        <v>17.5</v>
      </c>
      <c r="I1113" s="43">
        <v>22.5</v>
      </c>
      <c r="J1113" s="43">
        <v>0</v>
      </c>
      <c r="K1113" s="1">
        <f t="shared" ref="K1113" si="2126">(IF(F1113="SELL",G1113-H1113,IF(F1113="BUY",H1113-G1113)))*E1113</f>
        <v>2500</v>
      </c>
      <c r="L1113" s="43">
        <f>E1113*5</f>
        <v>2500</v>
      </c>
      <c r="M1113" s="43">
        <v>0</v>
      </c>
      <c r="N1113" s="1">
        <f t="shared" si="2072"/>
        <v>10</v>
      </c>
      <c r="O1113" s="1">
        <f t="shared" si="2073"/>
        <v>5000</v>
      </c>
      <c r="P1113" s="31"/>
      <c r="Q1113" s="31"/>
      <c r="R1113" s="31"/>
      <c r="S1113" s="31"/>
      <c r="T1113" s="31"/>
      <c r="U1113" s="31"/>
      <c r="V1113" s="31"/>
      <c r="W1113" s="31"/>
      <c r="X1113" s="31"/>
      <c r="Y1113" s="31"/>
      <c r="Z1113" s="31"/>
      <c r="AA1113" s="31"/>
      <c r="AB1113" s="31"/>
      <c r="AC1113" s="31"/>
      <c r="AD1113" s="31"/>
      <c r="AE1113" s="31"/>
      <c r="AF1113" s="31"/>
      <c r="AG1113" s="31"/>
    </row>
    <row r="1114" spans="1:33" s="32" customFormat="1" ht="15" customHeight="1">
      <c r="A1114" s="37">
        <v>43767</v>
      </c>
      <c r="B1114" s="20" t="s">
        <v>13</v>
      </c>
      <c r="C1114" s="20" t="s">
        <v>47</v>
      </c>
      <c r="D1114" s="20">
        <v>470</v>
      </c>
      <c r="E1114" s="38">
        <v>700</v>
      </c>
      <c r="F1114" s="20" t="s">
        <v>8</v>
      </c>
      <c r="G1114" s="43">
        <v>10</v>
      </c>
      <c r="H1114" s="43">
        <v>10</v>
      </c>
      <c r="I1114" s="43">
        <v>0</v>
      </c>
      <c r="J1114" s="43">
        <v>0</v>
      </c>
      <c r="K1114" s="1">
        <f t="shared" ref="K1114" si="2127">(IF(F1114="SELL",G1114-H1114,IF(F1114="BUY",H1114-G1114)))*E1114</f>
        <v>0</v>
      </c>
      <c r="L1114" s="43">
        <v>0</v>
      </c>
      <c r="M1114" s="43">
        <v>0</v>
      </c>
      <c r="N1114" s="1">
        <f t="shared" si="2072"/>
        <v>0</v>
      </c>
      <c r="O1114" s="1">
        <f t="shared" si="2073"/>
        <v>0</v>
      </c>
      <c r="P1114" s="31"/>
      <c r="Q1114" s="31"/>
      <c r="R1114" s="31"/>
      <c r="S1114" s="31"/>
      <c r="T1114" s="31"/>
      <c r="U1114" s="31"/>
      <c r="V1114" s="31"/>
      <c r="W1114" s="31"/>
      <c r="X1114" s="31"/>
      <c r="Y1114" s="31"/>
      <c r="Z1114" s="31"/>
      <c r="AA1114" s="31"/>
      <c r="AB1114" s="31"/>
      <c r="AC1114" s="31"/>
      <c r="AD1114" s="31"/>
      <c r="AE1114" s="31"/>
      <c r="AF1114" s="31"/>
      <c r="AG1114" s="31"/>
    </row>
    <row r="1115" spans="1:33" s="32" customFormat="1" ht="15" customHeight="1">
      <c r="A1115" s="37">
        <v>43763</v>
      </c>
      <c r="B1115" s="20" t="s">
        <v>30</v>
      </c>
      <c r="C1115" s="20" t="s">
        <v>47</v>
      </c>
      <c r="D1115" s="20">
        <v>470</v>
      </c>
      <c r="E1115" s="38">
        <v>1375</v>
      </c>
      <c r="F1115" s="20" t="s">
        <v>8</v>
      </c>
      <c r="G1115" s="43">
        <v>6.2</v>
      </c>
      <c r="H1115" s="43">
        <v>8.1999999999999993</v>
      </c>
      <c r="I1115" s="43">
        <v>0</v>
      </c>
      <c r="J1115" s="43">
        <v>0</v>
      </c>
      <c r="K1115" s="1">
        <f t="shared" ref="K1115" si="2128">(IF(F1115="SELL",G1115-H1115,IF(F1115="BUY",H1115-G1115)))*E1115</f>
        <v>2749.9999999999986</v>
      </c>
      <c r="L1115" s="43">
        <v>0</v>
      </c>
      <c r="M1115" s="43">
        <v>0</v>
      </c>
      <c r="N1115" s="1">
        <f t="shared" si="2072"/>
        <v>1.9999999999999991</v>
      </c>
      <c r="O1115" s="1">
        <f t="shared" si="2073"/>
        <v>2749.9999999999986</v>
      </c>
      <c r="P1115" s="31"/>
      <c r="Q1115" s="31"/>
      <c r="R1115" s="31"/>
      <c r="S1115" s="31"/>
      <c r="T1115" s="31"/>
      <c r="U1115" s="31"/>
      <c r="V1115" s="31"/>
      <c r="W1115" s="31"/>
      <c r="X1115" s="31"/>
      <c r="Y1115" s="31"/>
      <c r="Z1115" s="31"/>
      <c r="AA1115" s="31"/>
      <c r="AB1115" s="31"/>
      <c r="AC1115" s="31"/>
      <c r="AD1115" s="31"/>
      <c r="AE1115" s="31"/>
      <c r="AF1115" s="31"/>
      <c r="AG1115" s="31"/>
    </row>
    <row r="1116" spans="1:33" s="32" customFormat="1" ht="15" customHeight="1">
      <c r="A1116" s="37">
        <v>43763</v>
      </c>
      <c r="B1116" s="20" t="s">
        <v>413</v>
      </c>
      <c r="C1116" s="20" t="s">
        <v>46</v>
      </c>
      <c r="D1116" s="20">
        <v>180</v>
      </c>
      <c r="E1116" s="38">
        <v>800</v>
      </c>
      <c r="F1116" s="20" t="s">
        <v>46</v>
      </c>
      <c r="G1116" s="43">
        <v>8</v>
      </c>
      <c r="H1116" s="43">
        <v>12</v>
      </c>
      <c r="I1116" s="43">
        <v>0</v>
      </c>
      <c r="J1116" s="43">
        <v>0</v>
      </c>
      <c r="K1116" s="1">
        <f>E1116*4</f>
        <v>3200</v>
      </c>
      <c r="L1116" s="43">
        <v>0</v>
      </c>
      <c r="M1116" s="43">
        <v>0</v>
      </c>
      <c r="N1116" s="1">
        <f t="shared" si="2072"/>
        <v>4</v>
      </c>
      <c r="O1116" s="1">
        <f t="shared" si="2073"/>
        <v>3200</v>
      </c>
      <c r="P1116" s="31"/>
      <c r="Q1116" s="31"/>
      <c r="R1116" s="31"/>
      <c r="S1116" s="31"/>
      <c r="T1116" s="31"/>
      <c r="U1116" s="31"/>
      <c r="V1116" s="31"/>
      <c r="W1116" s="31"/>
      <c r="X1116" s="31"/>
      <c r="Y1116" s="31"/>
      <c r="Z1116" s="31"/>
      <c r="AA1116" s="31"/>
      <c r="AB1116" s="31"/>
      <c r="AC1116" s="31"/>
      <c r="AD1116" s="31"/>
      <c r="AE1116" s="31"/>
      <c r="AF1116" s="31"/>
      <c r="AG1116" s="31"/>
    </row>
    <row r="1117" spans="1:33" s="32" customFormat="1" ht="15" customHeight="1">
      <c r="A1117" s="37">
        <v>43763</v>
      </c>
      <c r="B1117" s="20" t="s">
        <v>391</v>
      </c>
      <c r="C1117" s="20" t="s">
        <v>47</v>
      </c>
      <c r="D1117" s="20">
        <v>420</v>
      </c>
      <c r="E1117" s="38">
        <v>1100</v>
      </c>
      <c r="F1117" s="20" t="s">
        <v>8</v>
      </c>
      <c r="G1117" s="43">
        <v>4.5</v>
      </c>
      <c r="H1117" s="43">
        <v>6.8</v>
      </c>
      <c r="I1117" s="43">
        <v>0</v>
      </c>
      <c r="J1117" s="43">
        <v>0</v>
      </c>
      <c r="K1117" s="1">
        <f t="shared" ref="K1117" si="2129">(IF(F1117="SELL",G1117-H1117,IF(F1117="BUY",H1117-G1117)))*E1117</f>
        <v>2530</v>
      </c>
      <c r="L1117" s="43">
        <v>0</v>
      </c>
      <c r="M1117" s="43">
        <v>0</v>
      </c>
      <c r="N1117" s="1">
        <f t="shared" si="2072"/>
        <v>2.2999999999999998</v>
      </c>
      <c r="O1117" s="1">
        <f t="shared" si="2073"/>
        <v>2530</v>
      </c>
      <c r="P1117" s="31"/>
      <c r="Q1117" s="31"/>
      <c r="R1117" s="31"/>
      <c r="S1117" s="31"/>
      <c r="T1117" s="31"/>
      <c r="U1117" s="31"/>
      <c r="V1117" s="31"/>
      <c r="W1117" s="31"/>
      <c r="X1117" s="31"/>
      <c r="Y1117" s="31"/>
      <c r="Z1117" s="31"/>
      <c r="AA1117" s="31"/>
      <c r="AB1117" s="31"/>
      <c r="AC1117" s="31"/>
      <c r="AD1117" s="31"/>
      <c r="AE1117" s="31"/>
      <c r="AF1117" s="31"/>
      <c r="AG1117" s="31"/>
    </row>
    <row r="1118" spans="1:33" s="32" customFormat="1" ht="15" customHeight="1">
      <c r="A1118" s="37">
        <v>43762</v>
      </c>
      <c r="B1118" s="20" t="s">
        <v>96</v>
      </c>
      <c r="C1118" s="20" t="s">
        <v>46</v>
      </c>
      <c r="D1118" s="20">
        <v>570</v>
      </c>
      <c r="E1118" s="38">
        <v>1000</v>
      </c>
      <c r="F1118" s="20" t="s">
        <v>8</v>
      </c>
      <c r="G1118" s="43">
        <v>5.2</v>
      </c>
      <c r="H1118" s="43">
        <v>6.5</v>
      </c>
      <c r="I1118" s="43">
        <v>0</v>
      </c>
      <c r="J1118" s="43">
        <v>0</v>
      </c>
      <c r="K1118" s="1">
        <f t="shared" ref="K1118" si="2130">(IF(F1118="SELL",G1118-H1118,IF(F1118="BUY",H1118-G1118)))*E1118</f>
        <v>1299.9999999999998</v>
      </c>
      <c r="L1118" s="43">
        <v>0</v>
      </c>
      <c r="M1118" s="43">
        <v>0</v>
      </c>
      <c r="N1118" s="1">
        <f t="shared" si="2072"/>
        <v>1.2999999999999998</v>
      </c>
      <c r="O1118" s="1">
        <f t="shared" si="2073"/>
        <v>1299.9999999999998</v>
      </c>
      <c r="P1118" s="31"/>
      <c r="Q1118" s="31"/>
      <c r="R1118" s="31"/>
      <c r="S1118" s="31"/>
      <c r="T1118" s="31"/>
      <c r="U1118" s="31"/>
      <c r="V1118" s="31"/>
      <c r="W1118" s="31"/>
      <c r="X1118" s="31"/>
      <c r="Y1118" s="31"/>
      <c r="Z1118" s="31"/>
      <c r="AA1118" s="31"/>
      <c r="AB1118" s="31"/>
      <c r="AC1118" s="31"/>
      <c r="AD1118" s="31"/>
      <c r="AE1118" s="31"/>
      <c r="AF1118" s="31"/>
      <c r="AG1118" s="31"/>
    </row>
    <row r="1119" spans="1:33" s="32" customFormat="1" ht="15" customHeight="1">
      <c r="A1119" s="37">
        <v>43762</v>
      </c>
      <c r="B1119" s="20" t="s">
        <v>386</v>
      </c>
      <c r="C1119" s="20" t="s">
        <v>47</v>
      </c>
      <c r="D1119" s="20">
        <v>1400</v>
      </c>
      <c r="E1119" s="38">
        <v>750</v>
      </c>
      <c r="F1119" s="20" t="s">
        <v>8</v>
      </c>
      <c r="G1119" s="43">
        <v>12</v>
      </c>
      <c r="H1119" s="43">
        <v>13.5</v>
      </c>
      <c r="I1119" s="43">
        <v>0</v>
      </c>
      <c r="J1119" s="43">
        <v>0</v>
      </c>
      <c r="K1119" s="1">
        <f t="shared" ref="K1119" si="2131">(IF(F1119="SELL",G1119-H1119,IF(F1119="BUY",H1119-G1119)))*E1119</f>
        <v>1125</v>
      </c>
      <c r="L1119" s="43">
        <v>0</v>
      </c>
      <c r="M1119" s="43">
        <v>0</v>
      </c>
      <c r="N1119" s="1">
        <f t="shared" si="2072"/>
        <v>1.5</v>
      </c>
      <c r="O1119" s="1">
        <f t="shared" si="2073"/>
        <v>1125</v>
      </c>
      <c r="P1119" s="31"/>
      <c r="Q1119" s="31"/>
      <c r="R1119" s="31"/>
      <c r="S1119" s="31"/>
      <c r="T1119" s="31"/>
      <c r="U1119" s="31"/>
      <c r="V1119" s="31"/>
      <c r="W1119" s="31"/>
      <c r="X1119" s="31"/>
      <c r="Y1119" s="31"/>
      <c r="Z1119" s="31"/>
      <c r="AA1119" s="31"/>
      <c r="AB1119" s="31"/>
      <c r="AC1119" s="31"/>
      <c r="AD1119" s="31"/>
      <c r="AE1119" s="31"/>
      <c r="AF1119" s="31"/>
      <c r="AG1119" s="31"/>
    </row>
    <row r="1120" spans="1:33" s="32" customFormat="1" ht="15" customHeight="1">
      <c r="A1120" s="37">
        <v>43762</v>
      </c>
      <c r="B1120" s="20" t="s">
        <v>208</v>
      </c>
      <c r="C1120" s="20" t="s">
        <v>47</v>
      </c>
      <c r="D1120" s="20">
        <v>1780</v>
      </c>
      <c r="E1120" s="38">
        <v>400</v>
      </c>
      <c r="F1120" s="20" t="s">
        <v>8</v>
      </c>
      <c r="G1120" s="43">
        <v>26</v>
      </c>
      <c r="H1120" s="43">
        <v>26</v>
      </c>
      <c r="I1120" s="43">
        <v>0</v>
      </c>
      <c r="J1120" s="43">
        <v>0</v>
      </c>
      <c r="K1120" s="1">
        <f t="shared" ref="K1120" si="2132">(IF(F1120="SELL",G1120-H1120,IF(F1120="BUY",H1120-G1120)))*E1120</f>
        <v>0</v>
      </c>
      <c r="L1120" s="43">
        <v>0</v>
      </c>
      <c r="M1120" s="43">
        <v>0</v>
      </c>
      <c r="N1120" s="1">
        <f t="shared" ref="N1120:N1183" si="2133">(L1120+K1120+M1120)/E1120</f>
        <v>0</v>
      </c>
      <c r="O1120" s="1">
        <f t="shared" ref="O1120:O1183" si="2134">N1120*E1120</f>
        <v>0</v>
      </c>
      <c r="P1120" s="31"/>
      <c r="Q1120" s="31"/>
      <c r="R1120" s="31"/>
      <c r="S1120" s="31"/>
      <c r="T1120" s="31"/>
      <c r="U1120" s="31"/>
      <c r="V1120" s="31"/>
      <c r="W1120" s="31"/>
      <c r="X1120" s="31"/>
      <c r="Y1120" s="31"/>
      <c r="Z1120" s="31"/>
      <c r="AA1120" s="31"/>
      <c r="AB1120" s="31"/>
      <c r="AC1120" s="31"/>
      <c r="AD1120" s="31"/>
      <c r="AE1120" s="31"/>
      <c r="AF1120" s="31"/>
      <c r="AG1120" s="31"/>
    </row>
    <row r="1121" spans="1:33" s="32" customFormat="1" ht="15" customHeight="1">
      <c r="A1121" s="37">
        <v>43761</v>
      </c>
      <c r="B1121" s="20" t="s">
        <v>386</v>
      </c>
      <c r="C1121" s="20" t="s">
        <v>47</v>
      </c>
      <c r="D1121" s="20">
        <v>1380</v>
      </c>
      <c r="E1121" s="38">
        <v>750</v>
      </c>
      <c r="F1121" s="20" t="s">
        <v>8</v>
      </c>
      <c r="G1121" s="43">
        <v>12.2</v>
      </c>
      <c r="H1121" s="43">
        <v>15</v>
      </c>
      <c r="I1121" s="43">
        <v>18</v>
      </c>
      <c r="J1121" s="43">
        <v>21</v>
      </c>
      <c r="K1121" s="1">
        <f t="shared" ref="K1121" si="2135">(IF(F1121="SELL",G1121-H1121,IF(F1121="BUY",H1121-G1121)))*E1121</f>
        <v>2100.0000000000005</v>
      </c>
      <c r="L1121" s="43">
        <f>E1121*3</f>
        <v>2250</v>
      </c>
      <c r="M1121" s="43">
        <f>E1121*3</f>
        <v>2250</v>
      </c>
      <c r="N1121" s="1">
        <f t="shared" si="2133"/>
        <v>8.8000000000000007</v>
      </c>
      <c r="O1121" s="1">
        <f t="shared" si="2134"/>
        <v>6600.0000000000009</v>
      </c>
      <c r="P1121" s="31"/>
      <c r="Q1121" s="31"/>
      <c r="R1121" s="31"/>
      <c r="S1121" s="31"/>
      <c r="T1121" s="31"/>
      <c r="U1121" s="31"/>
      <c r="V1121" s="31"/>
      <c r="W1121" s="31"/>
      <c r="X1121" s="31"/>
      <c r="Y1121" s="31"/>
      <c r="Z1121" s="31"/>
      <c r="AA1121" s="31"/>
      <c r="AB1121" s="31"/>
      <c r="AC1121" s="31"/>
      <c r="AD1121" s="31"/>
      <c r="AE1121" s="31"/>
      <c r="AF1121" s="31"/>
      <c r="AG1121" s="31"/>
    </row>
    <row r="1122" spans="1:33" s="32" customFormat="1" ht="15" customHeight="1">
      <c r="A1122" s="37">
        <v>43761</v>
      </c>
      <c r="B1122" s="20" t="s">
        <v>411</v>
      </c>
      <c r="C1122" s="20" t="s">
        <v>46</v>
      </c>
      <c r="D1122" s="20">
        <v>50</v>
      </c>
      <c r="E1122" s="38">
        <v>2200</v>
      </c>
      <c r="F1122" s="20" t="s">
        <v>8</v>
      </c>
      <c r="G1122" s="43">
        <v>3.3</v>
      </c>
      <c r="H1122" s="43">
        <v>2.6</v>
      </c>
      <c r="I1122" s="43">
        <v>0</v>
      </c>
      <c r="J1122" s="43">
        <v>0</v>
      </c>
      <c r="K1122" s="1">
        <f t="shared" ref="K1122" si="2136">(IF(F1122="SELL",G1122-H1122,IF(F1122="BUY",H1122-G1122)))*E1122</f>
        <v>-1539.9999999999993</v>
      </c>
      <c r="L1122" s="43">
        <v>0</v>
      </c>
      <c r="M1122" s="43">
        <v>0</v>
      </c>
      <c r="N1122" s="1">
        <f t="shared" si="2133"/>
        <v>-0.69999999999999973</v>
      </c>
      <c r="O1122" s="1">
        <f t="shared" si="2134"/>
        <v>-1539.9999999999993</v>
      </c>
      <c r="P1122" s="31"/>
      <c r="Q1122" s="31"/>
      <c r="R1122" s="31"/>
      <c r="S1122" s="31"/>
      <c r="T1122" s="31"/>
      <c r="U1122" s="31"/>
      <c r="V1122" s="31"/>
      <c r="W1122" s="31"/>
      <c r="X1122" s="31"/>
      <c r="Y1122" s="31"/>
      <c r="Z1122" s="31"/>
      <c r="AA1122" s="31"/>
      <c r="AB1122" s="31"/>
      <c r="AC1122" s="31"/>
      <c r="AD1122" s="31"/>
      <c r="AE1122" s="31"/>
      <c r="AF1122" s="31"/>
      <c r="AG1122" s="31"/>
    </row>
    <row r="1123" spans="1:33" s="32" customFormat="1" ht="15" customHeight="1">
      <c r="A1123" s="37">
        <v>43761</v>
      </c>
      <c r="B1123" s="20" t="s">
        <v>363</v>
      </c>
      <c r="C1123" s="20" t="s">
        <v>47</v>
      </c>
      <c r="D1123" s="20">
        <v>710</v>
      </c>
      <c r="E1123" s="38">
        <v>1500</v>
      </c>
      <c r="F1123" s="20" t="s">
        <v>8</v>
      </c>
      <c r="G1123" s="43">
        <v>7.6</v>
      </c>
      <c r="H1123" s="43">
        <v>5.5</v>
      </c>
      <c r="I1123" s="43">
        <v>0</v>
      </c>
      <c r="J1123" s="43">
        <v>0</v>
      </c>
      <c r="K1123" s="1">
        <f t="shared" ref="K1123" si="2137">(IF(F1123="SELL",G1123-H1123,IF(F1123="BUY",H1123-G1123)))*E1123</f>
        <v>-3149.9999999999995</v>
      </c>
      <c r="L1123" s="43">
        <v>0</v>
      </c>
      <c r="M1123" s="43">
        <v>0</v>
      </c>
      <c r="N1123" s="1">
        <f t="shared" si="2133"/>
        <v>-2.0999999999999996</v>
      </c>
      <c r="O1123" s="1">
        <f t="shared" si="2134"/>
        <v>-3149.9999999999995</v>
      </c>
      <c r="P1123" s="31"/>
      <c r="Q1123" s="31"/>
      <c r="R1123" s="31"/>
      <c r="S1123" s="31"/>
      <c r="T1123" s="31"/>
      <c r="U1123" s="31"/>
      <c r="V1123" s="31"/>
      <c r="W1123" s="31"/>
      <c r="X1123" s="31"/>
      <c r="Y1123" s="31"/>
      <c r="Z1123" s="31"/>
      <c r="AA1123" s="31"/>
      <c r="AB1123" s="31"/>
      <c r="AC1123" s="31"/>
      <c r="AD1123" s="31"/>
      <c r="AE1123" s="31"/>
      <c r="AF1123" s="31"/>
      <c r="AG1123" s="31"/>
    </row>
    <row r="1124" spans="1:33" s="32" customFormat="1" ht="15" customHeight="1">
      <c r="A1124" s="37">
        <v>43760</v>
      </c>
      <c r="B1124" s="20" t="s">
        <v>56</v>
      </c>
      <c r="C1124" s="20" t="s">
        <v>47</v>
      </c>
      <c r="D1124" s="20">
        <v>29500</v>
      </c>
      <c r="E1124" s="38">
        <v>20</v>
      </c>
      <c r="F1124" s="20" t="s">
        <v>8</v>
      </c>
      <c r="G1124" s="43">
        <v>370</v>
      </c>
      <c r="H1124" s="43">
        <v>240</v>
      </c>
      <c r="I1124" s="43">
        <v>0</v>
      </c>
      <c r="J1124" s="43">
        <v>0</v>
      </c>
      <c r="K1124" s="1">
        <f t="shared" ref="K1124" si="2138">(IF(F1124="SELL",G1124-H1124,IF(F1124="BUY",H1124-G1124)))*E1124</f>
        <v>-2600</v>
      </c>
      <c r="L1124" s="43">
        <v>0</v>
      </c>
      <c r="M1124" s="43">
        <v>0</v>
      </c>
      <c r="N1124" s="1">
        <f t="shared" si="2133"/>
        <v>-130</v>
      </c>
      <c r="O1124" s="1">
        <f t="shared" si="2134"/>
        <v>-2600</v>
      </c>
      <c r="P1124" s="31"/>
      <c r="Q1124" s="31"/>
      <c r="R1124" s="31"/>
      <c r="S1124" s="31"/>
      <c r="T1124" s="31"/>
      <c r="U1124" s="31"/>
      <c r="V1124" s="31"/>
      <c r="W1124" s="31"/>
      <c r="X1124" s="31"/>
      <c r="Y1124" s="31"/>
      <c r="Z1124" s="31"/>
      <c r="AA1124" s="31"/>
      <c r="AB1124" s="31"/>
      <c r="AC1124" s="31"/>
      <c r="AD1124" s="31"/>
      <c r="AE1124" s="31"/>
      <c r="AF1124" s="31"/>
      <c r="AG1124" s="31"/>
    </row>
    <row r="1125" spans="1:33" s="32" customFormat="1" ht="15" customHeight="1">
      <c r="A1125" s="37">
        <v>43760</v>
      </c>
      <c r="B1125" s="20" t="s">
        <v>24</v>
      </c>
      <c r="C1125" s="20" t="s">
        <v>46</v>
      </c>
      <c r="D1125" s="20">
        <v>125</v>
      </c>
      <c r="E1125" s="38">
        <v>3000</v>
      </c>
      <c r="F1125" s="20" t="s">
        <v>8</v>
      </c>
      <c r="G1125" s="43">
        <v>3.1</v>
      </c>
      <c r="H1125" s="43">
        <v>2</v>
      </c>
      <c r="I1125" s="43">
        <v>0</v>
      </c>
      <c r="J1125" s="43">
        <v>0</v>
      </c>
      <c r="K1125" s="1">
        <f t="shared" ref="K1125" si="2139">(IF(F1125="SELL",G1125-H1125,IF(F1125="BUY",H1125-G1125)))*E1125</f>
        <v>-3300.0000000000005</v>
      </c>
      <c r="L1125" s="43">
        <v>0</v>
      </c>
      <c r="M1125" s="43">
        <v>0</v>
      </c>
      <c r="N1125" s="1">
        <f t="shared" si="2133"/>
        <v>-1.1000000000000001</v>
      </c>
      <c r="O1125" s="1">
        <f t="shared" si="2134"/>
        <v>-3300.0000000000005</v>
      </c>
      <c r="P1125" s="31"/>
      <c r="Q1125" s="31"/>
      <c r="R1125" s="31"/>
      <c r="S1125" s="31"/>
      <c r="T1125" s="31"/>
      <c r="U1125" s="31"/>
      <c r="V1125" s="31"/>
      <c r="W1125" s="31"/>
      <c r="X1125" s="31"/>
      <c r="Y1125" s="31"/>
      <c r="Z1125" s="31"/>
      <c r="AA1125" s="31"/>
      <c r="AB1125" s="31"/>
      <c r="AC1125" s="31"/>
      <c r="AD1125" s="31"/>
      <c r="AE1125" s="31"/>
      <c r="AF1125" s="31"/>
      <c r="AG1125" s="31"/>
    </row>
    <row r="1126" spans="1:33" s="32" customFormat="1" ht="15" customHeight="1">
      <c r="A1126" s="37">
        <v>43760</v>
      </c>
      <c r="B1126" s="20" t="s">
        <v>399</v>
      </c>
      <c r="C1126" s="20" t="s">
        <v>47</v>
      </c>
      <c r="D1126" s="20">
        <v>295</v>
      </c>
      <c r="E1126" s="38">
        <v>2700</v>
      </c>
      <c r="F1126" s="20" t="s">
        <v>8</v>
      </c>
      <c r="G1126" s="43">
        <v>4</v>
      </c>
      <c r="H1126" s="43">
        <v>2.9</v>
      </c>
      <c r="I1126" s="43">
        <v>78</v>
      </c>
      <c r="J1126" s="43">
        <v>0</v>
      </c>
      <c r="K1126" s="1">
        <f t="shared" ref="K1126" si="2140">(IF(F1126="SELL",G1126-H1126,IF(F1126="BUY",H1126-G1126)))*E1126</f>
        <v>-2970.0000000000005</v>
      </c>
      <c r="L1126" s="43">
        <v>0</v>
      </c>
      <c r="M1126" s="43">
        <v>0</v>
      </c>
      <c r="N1126" s="1">
        <f t="shared" si="2133"/>
        <v>-1.1000000000000001</v>
      </c>
      <c r="O1126" s="1">
        <f t="shared" si="2134"/>
        <v>-2970.0000000000005</v>
      </c>
      <c r="P1126" s="31"/>
      <c r="Q1126" s="31"/>
      <c r="R1126" s="31"/>
      <c r="S1126" s="31"/>
      <c r="T1126" s="31"/>
      <c r="U1126" s="31"/>
      <c r="V1126" s="31"/>
      <c r="W1126" s="31"/>
      <c r="X1126" s="31"/>
      <c r="Y1126" s="31"/>
      <c r="Z1126" s="31"/>
      <c r="AA1126" s="31"/>
      <c r="AB1126" s="31"/>
      <c r="AC1126" s="31"/>
      <c r="AD1126" s="31"/>
      <c r="AE1126" s="31"/>
      <c r="AF1126" s="31"/>
      <c r="AG1126" s="31"/>
    </row>
    <row r="1127" spans="1:33" s="32" customFormat="1" ht="15" customHeight="1">
      <c r="A1127" s="37">
        <v>43756</v>
      </c>
      <c r="B1127" s="20" t="s">
        <v>175</v>
      </c>
      <c r="C1127" s="20" t="s">
        <v>47</v>
      </c>
      <c r="D1127" s="20">
        <v>4400</v>
      </c>
      <c r="E1127" s="38">
        <v>250</v>
      </c>
      <c r="F1127" s="20" t="s">
        <v>8</v>
      </c>
      <c r="G1127" s="43">
        <v>53</v>
      </c>
      <c r="H1127" s="43">
        <v>65</v>
      </c>
      <c r="I1127" s="43">
        <v>78</v>
      </c>
      <c r="J1127" s="43">
        <v>90</v>
      </c>
      <c r="K1127" s="1">
        <f t="shared" ref="K1127" si="2141">(IF(F1127="SELL",G1127-H1127,IF(F1127="BUY",H1127-G1127)))*E1127</f>
        <v>3000</v>
      </c>
      <c r="L1127" s="43">
        <f>E1127*13</f>
        <v>3250</v>
      </c>
      <c r="M1127" s="43">
        <f>E1127*12</f>
        <v>3000</v>
      </c>
      <c r="N1127" s="1">
        <f t="shared" si="2133"/>
        <v>37</v>
      </c>
      <c r="O1127" s="1">
        <f t="shared" si="2134"/>
        <v>9250</v>
      </c>
      <c r="P1127" s="31"/>
      <c r="Q1127" s="31"/>
      <c r="R1127" s="31"/>
      <c r="S1127" s="31"/>
      <c r="T1127" s="31"/>
      <c r="U1127" s="31"/>
      <c r="V1127" s="31"/>
      <c r="W1127" s="31"/>
      <c r="X1127" s="31"/>
      <c r="Y1127" s="31"/>
      <c r="Z1127" s="31"/>
      <c r="AA1127" s="31"/>
      <c r="AB1127" s="31"/>
      <c r="AC1127" s="31"/>
      <c r="AD1127" s="31"/>
      <c r="AE1127" s="31"/>
      <c r="AF1127" s="31"/>
      <c r="AG1127" s="31"/>
    </row>
    <row r="1128" spans="1:33" s="32" customFormat="1" ht="15" customHeight="1">
      <c r="A1128" s="37">
        <v>43756</v>
      </c>
      <c r="B1128" s="20" t="s">
        <v>420</v>
      </c>
      <c r="C1128" s="20" t="s">
        <v>47</v>
      </c>
      <c r="D1128" s="20">
        <v>1880</v>
      </c>
      <c r="E1128" s="38">
        <v>600</v>
      </c>
      <c r="F1128" s="20" t="s">
        <v>8</v>
      </c>
      <c r="G1128" s="43">
        <v>14</v>
      </c>
      <c r="H1128" s="43">
        <v>16.399999999999999</v>
      </c>
      <c r="I1128" s="43">
        <v>0</v>
      </c>
      <c r="J1128" s="43">
        <v>0</v>
      </c>
      <c r="K1128" s="1">
        <f t="shared" ref="K1128" si="2142">(IF(F1128="SELL",G1128-H1128,IF(F1128="BUY",H1128-G1128)))*E1128</f>
        <v>1439.9999999999991</v>
      </c>
      <c r="L1128" s="43">
        <v>0</v>
      </c>
      <c r="M1128" s="43">
        <v>0</v>
      </c>
      <c r="N1128" s="1">
        <f t="shared" si="2133"/>
        <v>2.3999999999999986</v>
      </c>
      <c r="O1128" s="1">
        <f t="shared" si="2134"/>
        <v>1439.9999999999991</v>
      </c>
      <c r="P1128" s="31"/>
      <c r="Q1128" s="31"/>
      <c r="R1128" s="31"/>
      <c r="S1128" s="31"/>
      <c r="T1128" s="31"/>
      <c r="U1128" s="31"/>
      <c r="V1128" s="31"/>
      <c r="W1128" s="31"/>
      <c r="X1128" s="31"/>
      <c r="Y1128" s="31"/>
      <c r="Z1128" s="31"/>
      <c r="AA1128" s="31"/>
      <c r="AB1128" s="31"/>
      <c r="AC1128" s="31"/>
      <c r="AD1128" s="31"/>
      <c r="AE1128" s="31"/>
      <c r="AF1128" s="31"/>
      <c r="AG1128" s="31"/>
    </row>
    <row r="1129" spans="1:33" s="32" customFormat="1" ht="15" customHeight="1">
      <c r="A1129" s="37">
        <v>43755</v>
      </c>
      <c r="B1129" s="20" t="s">
        <v>446</v>
      </c>
      <c r="C1129" s="20" t="s">
        <v>47</v>
      </c>
      <c r="D1129" s="20">
        <v>2120</v>
      </c>
      <c r="E1129" s="38">
        <v>300</v>
      </c>
      <c r="F1129" s="20" t="s">
        <v>8</v>
      </c>
      <c r="G1129" s="43">
        <v>21</v>
      </c>
      <c r="H1129" s="43">
        <v>22.5</v>
      </c>
      <c r="I1129" s="43">
        <v>0</v>
      </c>
      <c r="J1129" s="43">
        <v>0</v>
      </c>
      <c r="K1129" s="1">
        <f t="shared" ref="K1129" si="2143">(IF(F1129="SELL",G1129-H1129,IF(F1129="BUY",H1129-G1129)))*E1129</f>
        <v>450</v>
      </c>
      <c r="L1129" s="43">
        <v>0</v>
      </c>
      <c r="M1129" s="43">
        <v>0</v>
      </c>
      <c r="N1129" s="1">
        <f t="shared" si="2133"/>
        <v>1.5</v>
      </c>
      <c r="O1129" s="1">
        <f t="shared" si="2134"/>
        <v>450</v>
      </c>
      <c r="P1129" s="31"/>
      <c r="Q1129" s="31"/>
      <c r="R1129" s="31"/>
      <c r="S1129" s="31"/>
      <c r="T1129" s="31"/>
      <c r="U1129" s="31"/>
      <c r="V1129" s="31"/>
      <c r="W1129" s="31"/>
      <c r="X1129" s="31"/>
      <c r="Y1129" s="31"/>
      <c r="Z1129" s="31"/>
      <c r="AA1129" s="31"/>
      <c r="AB1129" s="31"/>
      <c r="AC1129" s="31"/>
      <c r="AD1129" s="31"/>
      <c r="AE1129" s="31"/>
      <c r="AF1129" s="31"/>
      <c r="AG1129" s="31"/>
    </row>
    <row r="1130" spans="1:33" s="32" customFormat="1" ht="15" customHeight="1">
      <c r="A1130" s="37">
        <v>43755</v>
      </c>
      <c r="B1130" s="20" t="s">
        <v>460</v>
      </c>
      <c r="C1130" s="20" t="s">
        <v>47</v>
      </c>
      <c r="D1130" s="20">
        <v>1640</v>
      </c>
      <c r="E1130" s="38">
        <v>550</v>
      </c>
      <c r="F1130" s="20" t="s">
        <v>8</v>
      </c>
      <c r="G1130" s="43">
        <v>26</v>
      </c>
      <c r="H1130" s="43">
        <v>28.55</v>
      </c>
      <c r="I1130" s="43">
        <v>0</v>
      </c>
      <c r="J1130" s="43">
        <v>0</v>
      </c>
      <c r="K1130" s="1">
        <f t="shared" ref="K1130" si="2144">(IF(F1130="SELL",G1130-H1130,IF(F1130="BUY",H1130-G1130)))*E1130</f>
        <v>1402.5000000000005</v>
      </c>
      <c r="L1130" s="43">
        <v>0</v>
      </c>
      <c r="M1130" s="43">
        <v>0</v>
      </c>
      <c r="N1130" s="1">
        <f t="shared" si="2133"/>
        <v>2.5500000000000007</v>
      </c>
      <c r="O1130" s="1">
        <f t="shared" si="2134"/>
        <v>1402.5000000000005</v>
      </c>
      <c r="P1130" s="31"/>
      <c r="Q1130" s="31"/>
      <c r="R1130" s="31"/>
      <c r="S1130" s="31"/>
      <c r="T1130" s="31"/>
      <c r="U1130" s="31"/>
      <c r="V1130" s="31"/>
      <c r="W1130" s="31"/>
      <c r="X1130" s="31"/>
      <c r="Y1130" s="31"/>
      <c r="Z1130" s="31"/>
      <c r="AA1130" s="31"/>
      <c r="AB1130" s="31"/>
      <c r="AC1130" s="31"/>
      <c r="AD1130" s="31"/>
      <c r="AE1130" s="31"/>
      <c r="AF1130" s="31"/>
      <c r="AG1130" s="31"/>
    </row>
    <row r="1131" spans="1:33" s="32" customFormat="1" ht="15" customHeight="1">
      <c r="A1131" s="37">
        <v>43755</v>
      </c>
      <c r="B1131" s="20" t="s">
        <v>415</v>
      </c>
      <c r="C1131" s="20" t="s">
        <v>46</v>
      </c>
      <c r="D1131" s="20">
        <v>2250</v>
      </c>
      <c r="E1131" s="38">
        <v>200</v>
      </c>
      <c r="F1131" s="20" t="s">
        <v>8</v>
      </c>
      <c r="G1131" s="43">
        <v>70</v>
      </c>
      <c r="H1131" s="43">
        <v>60</v>
      </c>
      <c r="I1131" s="43">
        <v>0</v>
      </c>
      <c r="J1131" s="43">
        <v>0</v>
      </c>
      <c r="K1131" s="1">
        <f t="shared" ref="K1131" si="2145">(IF(F1131="SELL",G1131-H1131,IF(F1131="BUY",H1131-G1131)))*E1131</f>
        <v>-2000</v>
      </c>
      <c r="L1131" s="43">
        <v>0</v>
      </c>
      <c r="M1131" s="43">
        <v>0</v>
      </c>
      <c r="N1131" s="1">
        <f t="shared" si="2133"/>
        <v>-10</v>
      </c>
      <c r="O1131" s="1">
        <f t="shared" si="2134"/>
        <v>-2000</v>
      </c>
      <c r="P1131" s="31"/>
      <c r="Q1131" s="31"/>
      <c r="R1131" s="31"/>
      <c r="S1131" s="31"/>
      <c r="T1131" s="31"/>
      <c r="U1131" s="31"/>
      <c r="V1131" s="31"/>
      <c r="W1131" s="31"/>
      <c r="X1131" s="31"/>
      <c r="Y1131" s="31"/>
      <c r="Z1131" s="31"/>
      <c r="AA1131" s="31"/>
      <c r="AB1131" s="31"/>
      <c r="AC1131" s="31"/>
      <c r="AD1131" s="31"/>
      <c r="AE1131" s="31"/>
      <c r="AF1131" s="31"/>
      <c r="AG1131" s="31"/>
    </row>
    <row r="1132" spans="1:33" s="32" customFormat="1" ht="15" customHeight="1">
      <c r="A1132" s="37">
        <v>43754</v>
      </c>
      <c r="B1132" s="20" t="s">
        <v>30</v>
      </c>
      <c r="C1132" s="20" t="s">
        <v>47</v>
      </c>
      <c r="D1132" s="20">
        <v>450</v>
      </c>
      <c r="E1132" s="38">
        <v>1375</v>
      </c>
      <c r="F1132" s="20" t="s">
        <v>8</v>
      </c>
      <c r="G1132" s="43">
        <v>7</v>
      </c>
      <c r="H1132" s="43">
        <v>7.9</v>
      </c>
      <c r="I1132" s="43">
        <v>0</v>
      </c>
      <c r="J1132" s="43">
        <v>0</v>
      </c>
      <c r="K1132" s="1">
        <f t="shared" ref="K1132" si="2146">(IF(F1132="SELL",G1132-H1132,IF(F1132="BUY",H1132-G1132)))*E1132</f>
        <v>1237.5000000000005</v>
      </c>
      <c r="L1132" s="43">
        <v>0</v>
      </c>
      <c r="M1132" s="43">
        <v>0</v>
      </c>
      <c r="N1132" s="1">
        <f t="shared" si="2133"/>
        <v>0.90000000000000036</v>
      </c>
      <c r="O1132" s="1">
        <f t="shared" si="2134"/>
        <v>1237.5000000000005</v>
      </c>
      <c r="P1132" s="31"/>
      <c r="Q1132" s="31"/>
      <c r="R1132" s="31"/>
      <c r="S1132" s="31"/>
      <c r="T1132" s="31"/>
      <c r="U1132" s="31"/>
      <c r="V1132" s="31"/>
      <c r="W1132" s="31"/>
      <c r="X1132" s="31"/>
      <c r="Y1132" s="31"/>
      <c r="Z1132" s="31"/>
      <c r="AA1132" s="31"/>
      <c r="AB1132" s="31"/>
      <c r="AC1132" s="31"/>
      <c r="AD1132" s="31"/>
      <c r="AE1132" s="31"/>
      <c r="AF1132" s="31"/>
      <c r="AG1132" s="31"/>
    </row>
    <row r="1133" spans="1:33" s="32" customFormat="1" ht="15" customHeight="1">
      <c r="A1133" s="37">
        <v>43754</v>
      </c>
      <c r="B1133" s="20" t="s">
        <v>424</v>
      </c>
      <c r="C1133" s="20" t="s">
        <v>47</v>
      </c>
      <c r="D1133" s="20">
        <v>1320</v>
      </c>
      <c r="E1133" s="38">
        <v>750</v>
      </c>
      <c r="F1133" s="20" t="s">
        <v>8</v>
      </c>
      <c r="G1133" s="43">
        <v>11</v>
      </c>
      <c r="H1133" s="43">
        <v>11</v>
      </c>
      <c r="I1133" s="43">
        <v>0</v>
      </c>
      <c r="J1133" s="43">
        <v>0</v>
      </c>
      <c r="K1133" s="1">
        <f t="shared" ref="K1133" si="2147">(IF(F1133="SELL",G1133-H1133,IF(F1133="BUY",H1133-G1133)))*E1133</f>
        <v>0</v>
      </c>
      <c r="L1133" s="43">
        <v>0</v>
      </c>
      <c r="M1133" s="43">
        <v>0</v>
      </c>
      <c r="N1133" s="1">
        <f t="shared" si="2133"/>
        <v>0</v>
      </c>
      <c r="O1133" s="1">
        <f t="shared" si="2134"/>
        <v>0</v>
      </c>
      <c r="P1133" s="31"/>
      <c r="Q1133" s="31"/>
      <c r="R1133" s="31"/>
      <c r="S1133" s="31"/>
      <c r="T1133" s="31"/>
      <c r="U1133" s="31"/>
      <c r="V1133" s="31"/>
      <c r="W1133" s="31"/>
      <c r="X1133" s="31"/>
      <c r="Y1133" s="31"/>
      <c r="Z1133" s="31"/>
      <c r="AA1133" s="31"/>
      <c r="AB1133" s="31"/>
      <c r="AC1133" s="31"/>
      <c r="AD1133" s="31"/>
      <c r="AE1133" s="31"/>
      <c r="AF1133" s="31"/>
      <c r="AG1133" s="31"/>
    </row>
    <row r="1134" spans="1:33" s="32" customFormat="1" ht="15" customHeight="1">
      <c r="A1134" s="37">
        <v>43754</v>
      </c>
      <c r="B1134" s="20" t="s">
        <v>460</v>
      </c>
      <c r="C1134" s="20" t="s">
        <v>47</v>
      </c>
      <c r="D1134" s="20">
        <v>1640</v>
      </c>
      <c r="E1134" s="38">
        <v>550</v>
      </c>
      <c r="F1134" s="20" t="s">
        <v>8</v>
      </c>
      <c r="G1134" s="43">
        <v>26</v>
      </c>
      <c r="H1134" s="43">
        <v>24.1</v>
      </c>
      <c r="I1134" s="43">
        <v>0</v>
      </c>
      <c r="J1134" s="43">
        <v>0</v>
      </c>
      <c r="K1134" s="1">
        <f t="shared" ref="K1134" si="2148">(IF(F1134="SELL",G1134-H1134,IF(F1134="BUY",H1134-G1134)))*E1134</f>
        <v>-1044.9999999999993</v>
      </c>
      <c r="L1134" s="43">
        <v>0</v>
      </c>
      <c r="M1134" s="43">
        <v>0</v>
      </c>
      <c r="N1134" s="1">
        <f t="shared" si="2133"/>
        <v>-1.8999999999999988</v>
      </c>
      <c r="O1134" s="1">
        <f t="shared" si="2134"/>
        <v>-1044.9999999999993</v>
      </c>
      <c r="P1134" s="31"/>
      <c r="Q1134" s="31"/>
      <c r="R1134" s="31"/>
      <c r="S1134" s="31"/>
      <c r="T1134" s="31"/>
      <c r="U1134" s="31"/>
      <c r="V1134" s="31"/>
      <c r="W1134" s="31"/>
      <c r="X1134" s="31"/>
      <c r="Y1134" s="31"/>
      <c r="Z1134" s="31"/>
      <c r="AA1134" s="31"/>
      <c r="AB1134" s="31"/>
      <c r="AC1134" s="31"/>
      <c r="AD1134" s="31"/>
      <c r="AE1134" s="31"/>
      <c r="AF1134" s="31"/>
      <c r="AG1134" s="31"/>
    </row>
    <row r="1135" spans="1:33" s="32" customFormat="1" ht="15" customHeight="1">
      <c r="A1135" s="37">
        <v>43753</v>
      </c>
      <c r="B1135" s="20" t="s">
        <v>424</v>
      </c>
      <c r="C1135" s="20" t="s">
        <v>47</v>
      </c>
      <c r="D1135" s="20">
        <v>1280</v>
      </c>
      <c r="E1135" s="38">
        <v>750</v>
      </c>
      <c r="F1135" s="20" t="s">
        <v>8</v>
      </c>
      <c r="G1135" s="43">
        <v>22</v>
      </c>
      <c r="H1135" s="43">
        <v>26</v>
      </c>
      <c r="I1135" s="43">
        <v>0</v>
      </c>
      <c r="J1135" s="43">
        <v>0</v>
      </c>
      <c r="K1135" s="1">
        <f t="shared" ref="K1135" si="2149">(IF(F1135="SELL",G1135-H1135,IF(F1135="BUY",H1135-G1135)))*E1135</f>
        <v>3000</v>
      </c>
      <c r="L1135" s="43">
        <v>0</v>
      </c>
      <c r="M1135" s="43">
        <v>0</v>
      </c>
      <c r="N1135" s="1">
        <f t="shared" si="2133"/>
        <v>4</v>
      </c>
      <c r="O1135" s="1">
        <f t="shared" si="2134"/>
        <v>3000</v>
      </c>
      <c r="P1135" s="31"/>
      <c r="Q1135" s="31"/>
      <c r="R1135" s="31"/>
      <c r="S1135" s="31"/>
      <c r="T1135" s="31"/>
      <c r="U1135" s="31"/>
      <c r="V1135" s="31"/>
      <c r="W1135" s="31"/>
      <c r="X1135" s="31"/>
      <c r="Y1135" s="31"/>
      <c r="Z1135" s="31"/>
      <c r="AA1135" s="31"/>
      <c r="AB1135" s="31"/>
      <c r="AC1135" s="31"/>
      <c r="AD1135" s="31"/>
      <c r="AE1135" s="31"/>
      <c r="AF1135" s="31"/>
      <c r="AG1135" s="31"/>
    </row>
    <row r="1136" spans="1:33" s="32" customFormat="1" ht="15" customHeight="1">
      <c r="A1136" s="37">
        <v>43753</v>
      </c>
      <c r="B1136" s="20" t="s">
        <v>60</v>
      </c>
      <c r="C1136" s="20" t="s">
        <v>46</v>
      </c>
      <c r="D1136" s="20">
        <v>145</v>
      </c>
      <c r="E1136" s="38">
        <v>3000</v>
      </c>
      <c r="F1136" s="20" t="s">
        <v>8</v>
      </c>
      <c r="G1136" s="43">
        <v>5.5</v>
      </c>
      <c r="H1136" s="43">
        <v>4.4000000000000004</v>
      </c>
      <c r="I1136" s="43">
        <v>0</v>
      </c>
      <c r="J1136" s="43">
        <v>0</v>
      </c>
      <c r="K1136" s="1">
        <f t="shared" ref="K1136" si="2150">(IF(F1136="SELL",G1136-H1136,IF(F1136="BUY",H1136-G1136)))*E1136</f>
        <v>-3299.9999999999991</v>
      </c>
      <c r="L1136" s="43">
        <v>0</v>
      </c>
      <c r="M1136" s="43">
        <v>0</v>
      </c>
      <c r="N1136" s="1">
        <f t="shared" si="2133"/>
        <v>-1.0999999999999996</v>
      </c>
      <c r="O1136" s="1">
        <f t="shared" si="2134"/>
        <v>-3299.9999999999991</v>
      </c>
      <c r="P1136" s="31"/>
      <c r="Q1136" s="31"/>
      <c r="R1136" s="31"/>
      <c r="S1136" s="31"/>
      <c r="T1136" s="31"/>
      <c r="U1136" s="31"/>
      <c r="V1136" s="31"/>
      <c r="W1136" s="31"/>
      <c r="X1136" s="31"/>
      <c r="Y1136" s="31"/>
      <c r="Z1136" s="31"/>
      <c r="AA1136" s="31"/>
      <c r="AB1136" s="31"/>
      <c r="AC1136" s="31"/>
      <c r="AD1136" s="31"/>
      <c r="AE1136" s="31"/>
      <c r="AF1136" s="31"/>
      <c r="AG1136" s="31"/>
    </row>
    <row r="1137" spans="1:33" s="32" customFormat="1" ht="15" customHeight="1">
      <c r="A1137" s="37">
        <v>43752</v>
      </c>
      <c r="B1137" s="20" t="s">
        <v>24</v>
      </c>
      <c r="C1137" s="20" t="s">
        <v>46</v>
      </c>
      <c r="D1137" s="20">
        <v>135</v>
      </c>
      <c r="E1137" s="38">
        <v>3000</v>
      </c>
      <c r="F1137" s="20" t="s">
        <v>8</v>
      </c>
      <c r="G1137" s="43">
        <v>3.9</v>
      </c>
      <c r="H1137" s="43">
        <v>4.3499999999999996</v>
      </c>
      <c r="I1137" s="43">
        <v>0</v>
      </c>
      <c r="J1137" s="43">
        <v>0</v>
      </c>
      <c r="K1137" s="1">
        <f t="shared" ref="K1137" si="2151">(IF(F1137="SELL",G1137-H1137,IF(F1137="BUY",H1137-G1137)))*E1137</f>
        <v>1349.9999999999991</v>
      </c>
      <c r="L1137" s="43">
        <v>0</v>
      </c>
      <c r="M1137" s="43">
        <v>0</v>
      </c>
      <c r="N1137" s="1">
        <f t="shared" si="2133"/>
        <v>0.44999999999999968</v>
      </c>
      <c r="O1137" s="1">
        <f t="shared" si="2134"/>
        <v>1349.9999999999991</v>
      </c>
      <c r="P1137" s="31"/>
      <c r="Q1137" s="31"/>
      <c r="R1137" s="31"/>
      <c r="S1137" s="31"/>
      <c r="T1137" s="31"/>
      <c r="U1137" s="31"/>
      <c r="V1137" s="31"/>
      <c r="W1137" s="31"/>
      <c r="X1137" s="31"/>
      <c r="Y1137" s="31"/>
      <c r="Z1137" s="31"/>
      <c r="AA1137" s="31"/>
      <c r="AB1137" s="31"/>
      <c r="AC1137" s="31"/>
      <c r="AD1137" s="31"/>
      <c r="AE1137" s="31"/>
      <c r="AF1137" s="31"/>
      <c r="AG1137" s="31"/>
    </row>
    <row r="1138" spans="1:33" s="32" customFormat="1" ht="15" customHeight="1">
      <c r="A1138" s="37">
        <v>43752</v>
      </c>
      <c r="B1138" s="20" t="s">
        <v>193</v>
      </c>
      <c r="C1138" s="20" t="s">
        <v>47</v>
      </c>
      <c r="D1138" s="20">
        <v>385</v>
      </c>
      <c r="E1138" s="38">
        <v>2750</v>
      </c>
      <c r="F1138" s="20" t="s">
        <v>8</v>
      </c>
      <c r="G1138" s="43">
        <v>8.3000000000000007</v>
      </c>
      <c r="H1138" s="43">
        <v>7.3</v>
      </c>
      <c r="I1138" s="43">
        <v>7.3</v>
      </c>
      <c r="J1138" s="43">
        <v>0</v>
      </c>
      <c r="K1138" s="1">
        <v>0</v>
      </c>
      <c r="L1138" s="43">
        <v>0</v>
      </c>
      <c r="M1138" s="43">
        <v>0</v>
      </c>
      <c r="N1138" s="1">
        <f t="shared" si="2133"/>
        <v>0</v>
      </c>
      <c r="O1138" s="1">
        <f t="shared" si="2134"/>
        <v>0</v>
      </c>
      <c r="P1138" s="31"/>
      <c r="Q1138" s="31"/>
      <c r="R1138" s="31"/>
      <c r="S1138" s="31"/>
      <c r="T1138" s="31"/>
      <c r="U1138" s="31"/>
      <c r="V1138" s="31"/>
      <c r="W1138" s="31"/>
      <c r="X1138" s="31"/>
      <c r="Y1138" s="31"/>
      <c r="Z1138" s="31"/>
      <c r="AA1138" s="31"/>
      <c r="AB1138" s="31"/>
      <c r="AC1138" s="31"/>
      <c r="AD1138" s="31"/>
      <c r="AE1138" s="31"/>
      <c r="AF1138" s="31"/>
      <c r="AG1138" s="31"/>
    </row>
    <row r="1139" spans="1:33" s="32" customFormat="1" ht="15" customHeight="1">
      <c r="A1139" s="37">
        <v>43749</v>
      </c>
      <c r="B1139" s="20" t="s">
        <v>35</v>
      </c>
      <c r="C1139" s="20" t="s">
        <v>46</v>
      </c>
      <c r="D1139" s="20">
        <v>370</v>
      </c>
      <c r="E1139" s="38">
        <v>1100</v>
      </c>
      <c r="F1139" s="20" t="s">
        <v>8</v>
      </c>
      <c r="G1139" s="43">
        <v>18</v>
      </c>
      <c r="H1139" s="43">
        <v>16</v>
      </c>
      <c r="I1139" s="43">
        <v>0</v>
      </c>
      <c r="J1139" s="43">
        <v>0</v>
      </c>
      <c r="K1139" s="1">
        <f t="shared" ref="K1139" si="2152">(IF(F1139="SELL",G1139-H1139,IF(F1139="BUY",H1139-G1139)))*E1139</f>
        <v>-2200</v>
      </c>
      <c r="L1139" s="43">
        <v>0</v>
      </c>
      <c r="M1139" s="43">
        <v>0</v>
      </c>
      <c r="N1139" s="1">
        <f t="shared" si="2133"/>
        <v>-2</v>
      </c>
      <c r="O1139" s="1">
        <f t="shared" si="2134"/>
        <v>-2200</v>
      </c>
      <c r="P1139" s="31"/>
      <c r="Q1139" s="31"/>
      <c r="R1139" s="31"/>
      <c r="S1139" s="31"/>
      <c r="T1139" s="31"/>
      <c r="U1139" s="31"/>
      <c r="V1139" s="31"/>
      <c r="W1139" s="31"/>
      <c r="X1139" s="31"/>
      <c r="Y1139" s="31"/>
      <c r="Z1139" s="31"/>
      <c r="AA1139" s="31"/>
      <c r="AB1139" s="31"/>
      <c r="AC1139" s="31"/>
      <c r="AD1139" s="31"/>
      <c r="AE1139" s="31"/>
      <c r="AF1139" s="31"/>
      <c r="AG1139" s="31"/>
    </row>
    <row r="1140" spans="1:33" s="32" customFormat="1" ht="15" customHeight="1">
      <c r="A1140" s="37">
        <v>43749</v>
      </c>
      <c r="B1140" s="20" t="s">
        <v>420</v>
      </c>
      <c r="C1140" s="20" t="s">
        <v>47</v>
      </c>
      <c r="D1140" s="20">
        <v>1860</v>
      </c>
      <c r="E1140" s="38">
        <v>600</v>
      </c>
      <c r="F1140" s="20" t="s">
        <v>8</v>
      </c>
      <c r="G1140" s="43">
        <v>18.8</v>
      </c>
      <c r="H1140" s="43">
        <v>17.5</v>
      </c>
      <c r="I1140" s="43">
        <v>0</v>
      </c>
      <c r="J1140" s="43">
        <v>0</v>
      </c>
      <c r="K1140" s="1">
        <f t="shared" ref="K1140" si="2153">(IF(F1140="SELL",G1140-H1140,IF(F1140="BUY",H1140-G1140)))*E1140</f>
        <v>-780.00000000000045</v>
      </c>
      <c r="L1140" s="43">
        <v>0</v>
      </c>
      <c r="M1140" s="43">
        <v>0</v>
      </c>
      <c r="N1140" s="1">
        <f t="shared" si="2133"/>
        <v>-1.3000000000000007</v>
      </c>
      <c r="O1140" s="1">
        <f t="shared" si="2134"/>
        <v>-780.00000000000045</v>
      </c>
      <c r="P1140" s="31"/>
      <c r="Q1140" s="31"/>
      <c r="R1140" s="31"/>
      <c r="S1140" s="31"/>
      <c r="T1140" s="31"/>
      <c r="U1140" s="31"/>
      <c r="V1140" s="31"/>
      <c r="W1140" s="31"/>
      <c r="X1140" s="31"/>
      <c r="Y1140" s="31"/>
      <c r="Z1140" s="31"/>
      <c r="AA1140" s="31"/>
      <c r="AB1140" s="31"/>
      <c r="AC1140" s="31"/>
      <c r="AD1140" s="31"/>
      <c r="AE1140" s="31"/>
      <c r="AF1140" s="31"/>
      <c r="AG1140" s="31"/>
    </row>
    <row r="1141" spans="1:33" s="32" customFormat="1" ht="15" customHeight="1">
      <c r="A1141" s="37">
        <v>43749</v>
      </c>
      <c r="B1141" s="20" t="s">
        <v>459</v>
      </c>
      <c r="C1141" s="20" t="s">
        <v>46</v>
      </c>
      <c r="D1141" s="20">
        <v>1100</v>
      </c>
      <c r="E1141" s="38">
        <v>400</v>
      </c>
      <c r="F1141" s="20" t="s">
        <v>8</v>
      </c>
      <c r="G1141" s="43">
        <v>28</v>
      </c>
      <c r="H1141" s="43">
        <v>21</v>
      </c>
      <c r="I1141" s="43">
        <v>0</v>
      </c>
      <c r="J1141" s="43">
        <v>0</v>
      </c>
      <c r="K1141" s="1">
        <f t="shared" ref="K1141:K1142" si="2154">(IF(F1141="SELL",G1141-H1141,IF(F1141="BUY",H1141-G1141)))*E1141</f>
        <v>-2800</v>
      </c>
      <c r="L1141" s="43">
        <v>0</v>
      </c>
      <c r="M1141" s="43">
        <v>0</v>
      </c>
      <c r="N1141" s="1">
        <f t="shared" si="2133"/>
        <v>-7</v>
      </c>
      <c r="O1141" s="1">
        <f t="shared" si="2134"/>
        <v>-2800</v>
      </c>
      <c r="P1141" s="31"/>
      <c r="Q1141" s="31"/>
      <c r="R1141" s="31"/>
      <c r="S1141" s="31"/>
      <c r="T1141" s="31"/>
      <c r="U1141" s="31"/>
      <c r="V1141" s="31"/>
      <c r="W1141" s="31"/>
      <c r="X1141" s="31"/>
      <c r="Y1141" s="31"/>
      <c r="Z1141" s="31"/>
      <c r="AA1141" s="31"/>
      <c r="AB1141" s="31"/>
      <c r="AC1141" s="31"/>
      <c r="AD1141" s="31"/>
      <c r="AE1141" s="31"/>
      <c r="AF1141" s="31"/>
      <c r="AG1141" s="31"/>
    </row>
    <row r="1142" spans="1:33" s="32" customFormat="1" ht="15" customHeight="1">
      <c r="A1142" s="37">
        <v>43748</v>
      </c>
      <c r="B1142" s="20" t="s">
        <v>446</v>
      </c>
      <c r="C1142" s="20" t="s">
        <v>47</v>
      </c>
      <c r="D1142" s="20">
        <v>1980</v>
      </c>
      <c r="E1142" s="38">
        <v>300</v>
      </c>
      <c r="F1142" s="20" t="s">
        <v>8</v>
      </c>
      <c r="G1142" s="43">
        <v>46</v>
      </c>
      <c r="H1142" s="43">
        <v>50.1</v>
      </c>
      <c r="I1142" s="43">
        <v>0</v>
      </c>
      <c r="J1142" s="43">
        <v>0</v>
      </c>
      <c r="K1142" s="1">
        <f t="shared" si="2154"/>
        <v>1230.0000000000005</v>
      </c>
      <c r="L1142" s="43">
        <v>0</v>
      </c>
      <c r="M1142" s="43">
        <v>0</v>
      </c>
      <c r="N1142" s="1">
        <f t="shared" si="2133"/>
        <v>4.1000000000000014</v>
      </c>
      <c r="O1142" s="1">
        <f t="shared" si="2134"/>
        <v>1230.0000000000005</v>
      </c>
      <c r="P1142" s="31"/>
      <c r="Q1142" s="31"/>
      <c r="R1142" s="31"/>
      <c r="S1142" s="31"/>
      <c r="T1142" s="31"/>
      <c r="U1142" s="31"/>
      <c r="V1142" s="31"/>
      <c r="W1142" s="31"/>
      <c r="X1142" s="31"/>
      <c r="Y1142" s="31"/>
      <c r="Z1142" s="31"/>
      <c r="AA1142" s="31"/>
      <c r="AB1142" s="31"/>
      <c r="AC1142" s="31"/>
      <c r="AD1142" s="31"/>
      <c r="AE1142" s="31"/>
      <c r="AF1142" s="31"/>
      <c r="AG1142" s="31"/>
    </row>
    <row r="1143" spans="1:33" s="32" customFormat="1" ht="15" customHeight="1">
      <c r="A1143" s="37">
        <v>43747</v>
      </c>
      <c r="B1143" s="20" t="s">
        <v>369</v>
      </c>
      <c r="C1143" s="20" t="s">
        <v>46</v>
      </c>
      <c r="D1143" s="20">
        <v>170</v>
      </c>
      <c r="E1143" s="38">
        <v>2000</v>
      </c>
      <c r="F1143" s="20" t="s">
        <v>8</v>
      </c>
      <c r="G1143" s="43">
        <v>6.6</v>
      </c>
      <c r="H1143" s="43">
        <v>7.6</v>
      </c>
      <c r="I1143" s="43">
        <v>0</v>
      </c>
      <c r="J1143" s="43">
        <v>0</v>
      </c>
      <c r="K1143" s="1">
        <f t="shared" ref="K1143" si="2155">(IF(F1143="SELL",G1143-H1143,IF(F1143="BUY",H1143-G1143)))*E1143</f>
        <v>2000</v>
      </c>
      <c r="L1143" s="43">
        <v>0</v>
      </c>
      <c r="M1143" s="43">
        <v>0</v>
      </c>
      <c r="N1143" s="1">
        <f t="shared" si="2133"/>
        <v>1</v>
      </c>
      <c r="O1143" s="1">
        <f t="shared" si="2134"/>
        <v>2000</v>
      </c>
      <c r="P1143" s="31"/>
      <c r="Q1143" s="31"/>
      <c r="R1143" s="31"/>
      <c r="S1143" s="31"/>
      <c r="T1143" s="31"/>
      <c r="U1143" s="31"/>
      <c r="V1143" s="31"/>
      <c r="W1143" s="31"/>
      <c r="X1143" s="31"/>
      <c r="Y1143" s="31"/>
      <c r="Z1143" s="31"/>
      <c r="AA1143" s="31"/>
      <c r="AB1143" s="31"/>
      <c r="AC1143" s="31"/>
      <c r="AD1143" s="31"/>
      <c r="AE1143" s="31"/>
      <c r="AF1143" s="31"/>
      <c r="AG1143" s="31"/>
    </row>
    <row r="1144" spans="1:33" s="32" customFormat="1" ht="15" customHeight="1">
      <c r="A1144" s="37">
        <v>43747</v>
      </c>
      <c r="B1144" s="20" t="s">
        <v>71</v>
      </c>
      <c r="C1144" s="20" t="s">
        <v>46</v>
      </c>
      <c r="D1144" s="20">
        <v>210</v>
      </c>
      <c r="E1144" s="38">
        <v>2000</v>
      </c>
      <c r="F1144" s="20" t="s">
        <v>8</v>
      </c>
      <c r="G1144" s="43">
        <v>12</v>
      </c>
      <c r="H1144" s="43">
        <v>12.8</v>
      </c>
      <c r="I1144" s="43">
        <v>0</v>
      </c>
      <c r="J1144" s="43">
        <v>0</v>
      </c>
      <c r="K1144" s="1">
        <f t="shared" ref="K1144:K1145" si="2156">(IF(F1144="SELL",G1144-H1144,IF(F1144="BUY",H1144-G1144)))*E1144</f>
        <v>1600.0000000000014</v>
      </c>
      <c r="L1144" s="43">
        <v>0</v>
      </c>
      <c r="M1144" s="43">
        <v>0</v>
      </c>
      <c r="N1144" s="1">
        <f t="shared" si="2133"/>
        <v>0.80000000000000071</v>
      </c>
      <c r="O1144" s="1">
        <f t="shared" si="2134"/>
        <v>1600.0000000000014</v>
      </c>
      <c r="P1144" s="31"/>
      <c r="Q1144" s="31"/>
      <c r="R1144" s="31"/>
      <c r="S1144" s="31"/>
      <c r="T1144" s="31"/>
      <c r="U1144" s="31"/>
      <c r="V1144" s="31"/>
      <c r="W1144" s="31"/>
      <c r="X1144" s="31"/>
      <c r="Y1144" s="31"/>
      <c r="Z1144" s="31"/>
      <c r="AA1144" s="31"/>
      <c r="AB1144" s="31"/>
      <c r="AC1144" s="31"/>
      <c r="AD1144" s="31"/>
      <c r="AE1144" s="31"/>
      <c r="AF1144" s="31"/>
      <c r="AG1144" s="31"/>
    </row>
    <row r="1145" spans="1:33" s="32" customFormat="1" ht="15" customHeight="1">
      <c r="A1145" s="37">
        <v>43745</v>
      </c>
      <c r="B1145" s="20" t="s">
        <v>32</v>
      </c>
      <c r="C1145" s="20" t="s">
        <v>46</v>
      </c>
      <c r="D1145" s="20">
        <v>530</v>
      </c>
      <c r="E1145" s="38">
        <v>1000</v>
      </c>
      <c r="F1145" s="20" t="s">
        <v>8</v>
      </c>
      <c r="G1145" s="43">
        <v>12</v>
      </c>
      <c r="H1145" s="43">
        <v>16</v>
      </c>
      <c r="I1145" s="43">
        <v>20</v>
      </c>
      <c r="J1145" s="43">
        <v>25</v>
      </c>
      <c r="K1145" s="1">
        <f t="shared" si="2156"/>
        <v>4000</v>
      </c>
      <c r="L1145" s="43">
        <f>E1145*4</f>
        <v>4000</v>
      </c>
      <c r="M1145" s="43">
        <f>E1145*5</f>
        <v>5000</v>
      </c>
      <c r="N1145" s="1">
        <f t="shared" si="2133"/>
        <v>13</v>
      </c>
      <c r="O1145" s="1">
        <f t="shared" si="2134"/>
        <v>13000</v>
      </c>
      <c r="P1145" s="31"/>
      <c r="Q1145" s="31"/>
      <c r="R1145" s="31"/>
      <c r="S1145" s="31"/>
      <c r="T1145" s="31"/>
      <c r="U1145" s="31"/>
      <c r="V1145" s="31"/>
      <c r="W1145" s="31"/>
      <c r="X1145" s="31"/>
      <c r="Y1145" s="31"/>
      <c r="Z1145" s="31"/>
      <c r="AA1145" s="31"/>
      <c r="AB1145" s="31"/>
      <c r="AC1145" s="31"/>
      <c r="AD1145" s="31"/>
      <c r="AE1145" s="31"/>
      <c r="AF1145" s="31"/>
      <c r="AG1145" s="31"/>
    </row>
    <row r="1146" spans="1:33" s="32" customFormat="1" ht="15" customHeight="1">
      <c r="A1146" s="37">
        <v>43745</v>
      </c>
      <c r="B1146" s="20" t="s">
        <v>417</v>
      </c>
      <c r="C1146" s="20" t="s">
        <v>46</v>
      </c>
      <c r="D1146" s="20">
        <v>260</v>
      </c>
      <c r="E1146" s="38">
        <v>1000</v>
      </c>
      <c r="F1146" s="20" t="s">
        <v>8</v>
      </c>
      <c r="G1146" s="43">
        <v>5.5</v>
      </c>
      <c r="H1146" s="43">
        <v>8.5</v>
      </c>
      <c r="I1146" s="43">
        <v>12.5</v>
      </c>
      <c r="J1146" s="43">
        <v>15.8</v>
      </c>
      <c r="K1146" s="1">
        <f t="shared" ref="K1146" si="2157">(IF(F1146="SELL",G1146-H1146,IF(F1146="BUY",H1146-G1146)))*E1146</f>
        <v>3000</v>
      </c>
      <c r="L1146" s="43">
        <f>E1146*4</f>
        <v>4000</v>
      </c>
      <c r="M1146" s="43">
        <f>E1146*3.3</f>
        <v>3300</v>
      </c>
      <c r="N1146" s="1">
        <f t="shared" si="2133"/>
        <v>10.3</v>
      </c>
      <c r="O1146" s="1">
        <f t="shared" si="2134"/>
        <v>10300</v>
      </c>
      <c r="P1146" s="31"/>
      <c r="Q1146" s="31"/>
      <c r="R1146" s="31"/>
      <c r="S1146" s="31"/>
      <c r="T1146" s="31"/>
      <c r="U1146" s="31"/>
      <c r="V1146" s="31"/>
      <c r="W1146" s="31"/>
      <c r="X1146" s="31"/>
      <c r="Y1146" s="31"/>
      <c r="Z1146" s="31"/>
      <c r="AA1146" s="31"/>
      <c r="AB1146" s="31"/>
      <c r="AC1146" s="31"/>
      <c r="AD1146" s="31"/>
      <c r="AE1146" s="31"/>
      <c r="AF1146" s="31"/>
      <c r="AG1146" s="31"/>
    </row>
    <row r="1147" spans="1:33" s="32" customFormat="1" ht="15" customHeight="1">
      <c r="A1147" s="37">
        <v>43745</v>
      </c>
      <c r="B1147" s="20" t="s">
        <v>414</v>
      </c>
      <c r="C1147" s="20" t="s">
        <v>47</v>
      </c>
      <c r="D1147" s="20">
        <v>45</v>
      </c>
      <c r="E1147" s="38">
        <v>2200</v>
      </c>
      <c r="F1147" s="20" t="s">
        <v>8</v>
      </c>
      <c r="G1147" s="43">
        <v>7</v>
      </c>
      <c r="H1147" s="43">
        <v>6.65</v>
      </c>
      <c r="I1147" s="43">
        <v>0</v>
      </c>
      <c r="J1147" s="43">
        <v>0</v>
      </c>
      <c r="K1147" s="1">
        <f t="shared" ref="K1147" si="2158">(IF(F1147="SELL",G1147-H1147,IF(F1147="BUY",H1147-G1147)))*E1147</f>
        <v>-769.9999999999992</v>
      </c>
      <c r="L1147" s="43">
        <v>0</v>
      </c>
      <c r="M1147" s="43">
        <v>0</v>
      </c>
      <c r="N1147" s="1">
        <f t="shared" si="2133"/>
        <v>-0.34999999999999964</v>
      </c>
      <c r="O1147" s="1">
        <f t="shared" si="2134"/>
        <v>-769.9999999999992</v>
      </c>
      <c r="P1147" s="31"/>
      <c r="Q1147" s="31"/>
      <c r="R1147" s="31"/>
      <c r="S1147" s="31"/>
      <c r="T1147" s="31"/>
      <c r="U1147" s="31"/>
      <c r="V1147" s="31"/>
      <c r="W1147" s="31"/>
      <c r="X1147" s="31"/>
      <c r="Y1147" s="31"/>
      <c r="Z1147" s="31"/>
      <c r="AA1147" s="31"/>
      <c r="AB1147" s="31"/>
      <c r="AC1147" s="31"/>
      <c r="AD1147" s="31"/>
      <c r="AE1147" s="31"/>
      <c r="AF1147" s="31"/>
      <c r="AG1147" s="31"/>
    </row>
    <row r="1148" spans="1:33" s="32" customFormat="1" ht="15" customHeight="1">
      <c r="A1148" s="37">
        <v>43742</v>
      </c>
      <c r="B1148" s="20" t="s">
        <v>399</v>
      </c>
      <c r="C1148" s="20" t="s">
        <v>46</v>
      </c>
      <c r="D1148" s="20">
        <v>260</v>
      </c>
      <c r="E1148" s="38">
        <v>2700</v>
      </c>
      <c r="F1148" s="20" t="s">
        <v>8</v>
      </c>
      <c r="G1148" s="43">
        <v>6.1</v>
      </c>
      <c r="H1148" s="43">
        <v>7</v>
      </c>
      <c r="I1148" s="43">
        <v>0</v>
      </c>
      <c r="J1148" s="43">
        <v>0</v>
      </c>
      <c r="K1148" s="1">
        <f t="shared" ref="K1148:K1151" si="2159">(IF(F1148="SELL",G1148-H1148,IF(F1148="BUY",H1148-G1148)))*E1148</f>
        <v>2430.0000000000009</v>
      </c>
      <c r="L1148" s="43">
        <v>0</v>
      </c>
      <c r="M1148" s="43">
        <v>0</v>
      </c>
      <c r="N1148" s="1">
        <f t="shared" si="2133"/>
        <v>0.90000000000000036</v>
      </c>
      <c r="O1148" s="1">
        <f t="shared" si="2134"/>
        <v>2430.0000000000009</v>
      </c>
      <c r="P1148" s="31"/>
      <c r="Q1148" s="31"/>
      <c r="R1148" s="31"/>
      <c r="S1148" s="31"/>
      <c r="T1148" s="31"/>
      <c r="U1148" s="31"/>
      <c r="V1148" s="31"/>
      <c r="W1148" s="31"/>
      <c r="X1148" s="31"/>
      <c r="Y1148" s="31"/>
      <c r="Z1148" s="31"/>
      <c r="AA1148" s="31"/>
      <c r="AB1148" s="31"/>
      <c r="AC1148" s="31"/>
      <c r="AD1148" s="31"/>
      <c r="AE1148" s="31"/>
      <c r="AF1148" s="31"/>
      <c r="AG1148" s="31"/>
    </row>
    <row r="1149" spans="1:33" s="32" customFormat="1" ht="15" customHeight="1">
      <c r="A1149" s="37">
        <v>43742</v>
      </c>
      <c r="B1149" s="20" t="s">
        <v>54</v>
      </c>
      <c r="C1149" s="20" t="s">
        <v>46</v>
      </c>
      <c r="D1149" s="20">
        <v>470</v>
      </c>
      <c r="E1149" s="38">
        <v>1000</v>
      </c>
      <c r="F1149" s="20" t="s">
        <v>8</v>
      </c>
      <c r="G1149" s="43">
        <v>22.55</v>
      </c>
      <c r="H1149" s="43">
        <v>24.75</v>
      </c>
      <c r="I1149" s="43">
        <v>0</v>
      </c>
      <c r="J1149" s="43">
        <v>0</v>
      </c>
      <c r="K1149" s="1">
        <f t="shared" si="2159"/>
        <v>2199.9999999999991</v>
      </c>
      <c r="L1149" s="43">
        <v>0</v>
      </c>
      <c r="M1149" s="43">
        <v>0</v>
      </c>
      <c r="N1149" s="1">
        <f t="shared" si="2133"/>
        <v>2.1999999999999993</v>
      </c>
      <c r="O1149" s="1">
        <f t="shared" si="2134"/>
        <v>2199.9999999999991</v>
      </c>
      <c r="P1149" s="31"/>
      <c r="Q1149" s="31"/>
      <c r="R1149" s="31"/>
      <c r="S1149" s="31"/>
      <c r="T1149" s="31"/>
      <c r="U1149" s="31"/>
      <c r="V1149" s="31"/>
      <c r="W1149" s="31"/>
      <c r="X1149" s="31"/>
      <c r="Y1149" s="31"/>
      <c r="Z1149" s="31"/>
      <c r="AA1149" s="31"/>
      <c r="AB1149" s="31"/>
      <c r="AC1149" s="31"/>
      <c r="AD1149" s="31"/>
      <c r="AE1149" s="31"/>
      <c r="AF1149" s="31"/>
      <c r="AG1149" s="31"/>
    </row>
    <row r="1150" spans="1:33" s="32" customFormat="1" ht="15" customHeight="1">
      <c r="A1150" s="37">
        <v>43742</v>
      </c>
      <c r="B1150" s="20" t="s">
        <v>458</v>
      </c>
      <c r="C1150" s="20" t="s">
        <v>46</v>
      </c>
      <c r="D1150" s="20">
        <v>2850</v>
      </c>
      <c r="E1150" s="38">
        <v>200</v>
      </c>
      <c r="F1150" s="20" t="s">
        <v>8</v>
      </c>
      <c r="G1150" s="43">
        <v>74</v>
      </c>
      <c r="H1150" s="43">
        <v>79</v>
      </c>
      <c r="I1150" s="43">
        <v>0</v>
      </c>
      <c r="J1150" s="43">
        <v>0</v>
      </c>
      <c r="K1150" s="1">
        <f t="shared" si="2159"/>
        <v>1000</v>
      </c>
      <c r="L1150" s="43">
        <v>0</v>
      </c>
      <c r="M1150" s="43">
        <v>0</v>
      </c>
      <c r="N1150" s="1">
        <f t="shared" si="2133"/>
        <v>5</v>
      </c>
      <c r="O1150" s="1">
        <f t="shared" si="2134"/>
        <v>1000</v>
      </c>
      <c r="P1150" s="31"/>
      <c r="Q1150" s="31"/>
      <c r="R1150" s="31"/>
      <c r="S1150" s="31"/>
      <c r="T1150" s="31"/>
      <c r="U1150" s="31"/>
      <c r="V1150" s="31"/>
      <c r="W1150" s="31"/>
      <c r="X1150" s="31"/>
      <c r="Y1150" s="31"/>
      <c r="Z1150" s="31"/>
      <c r="AA1150" s="31"/>
      <c r="AB1150" s="31"/>
      <c r="AC1150" s="31"/>
      <c r="AD1150" s="31"/>
      <c r="AE1150" s="31"/>
      <c r="AF1150" s="31"/>
      <c r="AG1150" s="31"/>
    </row>
    <row r="1151" spans="1:33" s="32" customFormat="1" ht="15" customHeight="1">
      <c r="A1151" s="37">
        <v>43742</v>
      </c>
      <c r="B1151" s="20" t="s">
        <v>410</v>
      </c>
      <c r="C1151" s="20" t="s">
        <v>46</v>
      </c>
      <c r="D1151" s="20">
        <v>1750</v>
      </c>
      <c r="E1151" s="38">
        <v>600</v>
      </c>
      <c r="F1151" s="20" t="s">
        <v>8</v>
      </c>
      <c r="G1151" s="43">
        <v>51</v>
      </c>
      <c r="H1151" s="43">
        <v>45</v>
      </c>
      <c r="I1151" s="43">
        <v>0</v>
      </c>
      <c r="J1151" s="43">
        <v>0</v>
      </c>
      <c r="K1151" s="1">
        <f t="shared" si="2159"/>
        <v>-3600</v>
      </c>
      <c r="L1151" s="43">
        <v>0</v>
      </c>
      <c r="M1151" s="43">
        <v>0</v>
      </c>
      <c r="N1151" s="1">
        <f t="shared" si="2133"/>
        <v>-6</v>
      </c>
      <c r="O1151" s="1">
        <f t="shared" si="2134"/>
        <v>-3600</v>
      </c>
      <c r="P1151" s="31"/>
      <c r="Q1151" s="31"/>
      <c r="R1151" s="31"/>
      <c r="S1151" s="31"/>
      <c r="T1151" s="31"/>
      <c r="U1151" s="31"/>
      <c r="V1151" s="31"/>
      <c r="W1151" s="31"/>
      <c r="X1151" s="31"/>
      <c r="Y1151" s="31"/>
      <c r="Z1151" s="31"/>
      <c r="AA1151" s="31"/>
      <c r="AB1151" s="31"/>
      <c r="AC1151" s="31"/>
      <c r="AD1151" s="31"/>
      <c r="AE1151" s="31"/>
      <c r="AF1151" s="31"/>
      <c r="AG1151" s="31"/>
    </row>
    <row r="1152" spans="1:33" s="32" customFormat="1" ht="15" customHeight="1">
      <c r="A1152" s="37">
        <v>43741</v>
      </c>
      <c r="B1152" s="20" t="s">
        <v>395</v>
      </c>
      <c r="C1152" s="20" t="s">
        <v>47</v>
      </c>
      <c r="D1152" s="20">
        <v>520</v>
      </c>
      <c r="E1152" s="38">
        <v>1800</v>
      </c>
      <c r="F1152" s="20" t="s">
        <v>8</v>
      </c>
      <c r="G1152" s="43">
        <v>26</v>
      </c>
      <c r="H1152" s="43">
        <v>27.7</v>
      </c>
      <c r="I1152" s="43">
        <v>32.700000000000003</v>
      </c>
      <c r="J1152" s="43">
        <v>37.700000000000003</v>
      </c>
      <c r="K1152" s="1">
        <f t="shared" ref="K1152:K1155" si="2160">(IF(F1152="SELL",G1152-H1152,IF(F1152="BUY",H1152-G1152)))*E1152</f>
        <v>3059.9999999999986</v>
      </c>
      <c r="L1152" s="43">
        <f>E1152*5</f>
        <v>9000</v>
      </c>
      <c r="M1152" s="43">
        <f>E1152*5</f>
        <v>9000</v>
      </c>
      <c r="N1152" s="1">
        <f t="shared" si="2133"/>
        <v>11.7</v>
      </c>
      <c r="O1152" s="1">
        <f t="shared" si="2134"/>
        <v>21060</v>
      </c>
      <c r="P1152" s="31"/>
      <c r="Q1152" s="31"/>
      <c r="R1152" s="31"/>
      <c r="S1152" s="31"/>
      <c r="T1152" s="31"/>
      <c r="U1152" s="31"/>
      <c r="V1152" s="31"/>
      <c r="W1152" s="31"/>
      <c r="X1152" s="31"/>
      <c r="Y1152" s="31"/>
      <c r="Z1152" s="31"/>
      <c r="AA1152" s="31"/>
      <c r="AB1152" s="31"/>
      <c r="AC1152" s="31"/>
      <c r="AD1152" s="31"/>
      <c r="AE1152" s="31"/>
      <c r="AF1152" s="31"/>
      <c r="AG1152" s="31"/>
    </row>
    <row r="1153" spans="1:33" s="32" customFormat="1" ht="15" customHeight="1">
      <c r="A1153" s="37">
        <v>43741</v>
      </c>
      <c r="B1153" s="20" t="s">
        <v>60</v>
      </c>
      <c r="C1153" s="20" t="s">
        <v>425</v>
      </c>
      <c r="D1153" s="20">
        <v>145</v>
      </c>
      <c r="E1153" s="38">
        <v>3000</v>
      </c>
      <c r="F1153" s="20" t="s">
        <v>8</v>
      </c>
      <c r="G1153" s="43">
        <v>7.3</v>
      </c>
      <c r="H1153" s="43">
        <v>8.1</v>
      </c>
      <c r="I1153" s="43">
        <v>0</v>
      </c>
      <c r="J1153" s="43">
        <v>0</v>
      </c>
      <c r="K1153" s="1">
        <f t="shared" si="2160"/>
        <v>2399.9999999999995</v>
      </c>
      <c r="L1153" s="43">
        <v>0</v>
      </c>
      <c r="M1153" s="43">
        <v>0</v>
      </c>
      <c r="N1153" s="1">
        <f t="shared" si="2133"/>
        <v>0.79999999999999982</v>
      </c>
      <c r="O1153" s="1">
        <f t="shared" si="2134"/>
        <v>2399.9999999999995</v>
      </c>
      <c r="P1153" s="31"/>
      <c r="Q1153" s="31"/>
      <c r="R1153" s="31"/>
      <c r="S1153" s="31"/>
      <c r="T1153" s="31"/>
      <c r="U1153" s="31"/>
      <c r="V1153" s="31"/>
      <c r="W1153" s="31"/>
      <c r="X1153" s="31"/>
      <c r="Y1153" s="31"/>
      <c r="Z1153" s="31"/>
      <c r="AA1153" s="31"/>
      <c r="AB1153" s="31"/>
      <c r="AC1153" s="31"/>
      <c r="AD1153" s="31"/>
      <c r="AE1153" s="31"/>
      <c r="AF1153" s="31"/>
      <c r="AG1153" s="31"/>
    </row>
    <row r="1154" spans="1:33" s="32" customFormat="1" ht="15" customHeight="1">
      <c r="A1154" s="37">
        <v>43741</v>
      </c>
      <c r="B1154" s="20" t="s">
        <v>27</v>
      </c>
      <c r="C1154" s="20" t="s">
        <v>425</v>
      </c>
      <c r="D1154" s="20">
        <v>185</v>
      </c>
      <c r="E1154" s="38">
        <v>2200</v>
      </c>
      <c r="F1154" s="20" t="s">
        <v>8</v>
      </c>
      <c r="G1154" s="43">
        <v>5.5</v>
      </c>
      <c r="H1154" s="43">
        <v>6.6</v>
      </c>
      <c r="I1154" s="43">
        <v>0</v>
      </c>
      <c r="J1154" s="43">
        <v>0</v>
      </c>
      <c r="K1154" s="1">
        <f t="shared" si="2160"/>
        <v>2419.9999999999991</v>
      </c>
      <c r="L1154" s="43">
        <v>0</v>
      </c>
      <c r="M1154" s="43">
        <v>0</v>
      </c>
      <c r="N1154" s="1">
        <f t="shared" si="2133"/>
        <v>1.0999999999999996</v>
      </c>
      <c r="O1154" s="1">
        <f t="shared" si="2134"/>
        <v>2419.9999999999991</v>
      </c>
      <c r="P1154" s="31"/>
      <c r="Q1154" s="31"/>
      <c r="R1154" s="31"/>
      <c r="S1154" s="31"/>
      <c r="T1154" s="31"/>
      <c r="U1154" s="31"/>
      <c r="V1154" s="31"/>
      <c r="W1154" s="31"/>
      <c r="X1154" s="31"/>
      <c r="Y1154" s="31"/>
      <c r="Z1154" s="31"/>
      <c r="AA1154" s="31"/>
      <c r="AB1154" s="31"/>
      <c r="AC1154" s="31"/>
      <c r="AD1154" s="31"/>
      <c r="AE1154" s="31"/>
      <c r="AF1154" s="31"/>
      <c r="AG1154" s="31"/>
    </row>
    <row r="1155" spans="1:33" s="32" customFormat="1" ht="15" customHeight="1">
      <c r="A1155" s="37">
        <v>43741</v>
      </c>
      <c r="B1155" s="20" t="s">
        <v>447</v>
      </c>
      <c r="C1155" s="20" t="s">
        <v>47</v>
      </c>
      <c r="D1155" s="20">
        <v>120</v>
      </c>
      <c r="E1155" s="38">
        <v>3000</v>
      </c>
      <c r="F1155" s="20" t="s">
        <v>8</v>
      </c>
      <c r="G1155" s="43">
        <v>9</v>
      </c>
      <c r="H1155" s="43">
        <v>7.8</v>
      </c>
      <c r="I1155" s="43">
        <v>0</v>
      </c>
      <c r="J1155" s="43">
        <v>0</v>
      </c>
      <c r="K1155" s="1">
        <f t="shared" si="2160"/>
        <v>-3600.0000000000005</v>
      </c>
      <c r="L1155" s="43">
        <v>0</v>
      </c>
      <c r="M1155" s="43">
        <v>0</v>
      </c>
      <c r="N1155" s="1">
        <f t="shared" si="2133"/>
        <v>-1.2000000000000002</v>
      </c>
      <c r="O1155" s="1">
        <f t="shared" si="2134"/>
        <v>-3600.0000000000005</v>
      </c>
      <c r="P1155" s="31"/>
      <c r="Q1155" s="31"/>
      <c r="R1155" s="31"/>
      <c r="S1155" s="31"/>
      <c r="T1155" s="31"/>
      <c r="U1155" s="31"/>
      <c r="V1155" s="31"/>
      <c r="W1155" s="31"/>
      <c r="X1155" s="31"/>
      <c r="Y1155" s="31"/>
      <c r="Z1155" s="31"/>
      <c r="AA1155" s="31"/>
      <c r="AB1155" s="31"/>
      <c r="AC1155" s="31"/>
      <c r="AD1155" s="31"/>
      <c r="AE1155" s="31"/>
      <c r="AF1155" s="31"/>
      <c r="AG1155" s="31"/>
    </row>
    <row r="1156" spans="1:33" s="32" customFormat="1" ht="15" customHeight="1">
      <c r="A1156" s="37">
        <v>43739</v>
      </c>
      <c r="B1156" s="20" t="s">
        <v>452</v>
      </c>
      <c r="C1156" s="20" t="s">
        <v>425</v>
      </c>
      <c r="D1156" s="20">
        <v>250</v>
      </c>
      <c r="E1156" s="38">
        <v>1200</v>
      </c>
      <c r="F1156" s="20" t="s">
        <v>8</v>
      </c>
      <c r="G1156" s="43">
        <v>8.1999999999999993</v>
      </c>
      <c r="H1156" s="43">
        <v>12.2</v>
      </c>
      <c r="I1156" s="43">
        <v>17</v>
      </c>
      <c r="J1156" s="43">
        <v>22</v>
      </c>
      <c r="K1156" s="1">
        <f t="shared" ref="K1156" si="2161">(IF(F1156="SELL",G1156-H1156,IF(F1156="BUY",H1156-G1156)))*E1156</f>
        <v>4800</v>
      </c>
      <c r="L1156" s="43">
        <f>E1156*4.8</f>
        <v>5760</v>
      </c>
      <c r="M1156" s="43">
        <f>E1156*5</f>
        <v>6000</v>
      </c>
      <c r="N1156" s="1">
        <f t="shared" si="2133"/>
        <v>13.8</v>
      </c>
      <c r="O1156" s="1">
        <f t="shared" si="2134"/>
        <v>16560</v>
      </c>
      <c r="P1156" s="31"/>
      <c r="Q1156" s="31"/>
      <c r="R1156" s="31"/>
      <c r="S1156" s="31"/>
      <c r="T1156" s="31"/>
      <c r="U1156" s="31"/>
      <c r="V1156" s="31"/>
      <c r="W1156" s="31"/>
      <c r="X1156" s="31"/>
      <c r="Y1156" s="31"/>
      <c r="Z1156" s="31"/>
      <c r="AA1156" s="31"/>
      <c r="AB1156" s="31"/>
      <c r="AC1156" s="31"/>
      <c r="AD1156" s="31"/>
      <c r="AE1156" s="31"/>
      <c r="AF1156" s="31"/>
      <c r="AG1156" s="31"/>
    </row>
    <row r="1157" spans="1:33" s="32" customFormat="1" ht="15" customHeight="1">
      <c r="A1157" s="37">
        <v>43739</v>
      </c>
      <c r="B1157" s="20" t="s">
        <v>405</v>
      </c>
      <c r="C1157" s="20" t="s">
        <v>425</v>
      </c>
      <c r="D1157" s="20">
        <v>220</v>
      </c>
      <c r="E1157" s="38">
        <v>1300</v>
      </c>
      <c r="F1157" s="20" t="s">
        <v>8</v>
      </c>
      <c r="G1157" s="43">
        <v>10.199999999999999</v>
      </c>
      <c r="H1157" s="43">
        <v>13.2</v>
      </c>
      <c r="I1157" s="43">
        <v>17</v>
      </c>
      <c r="J1157" s="43">
        <v>21</v>
      </c>
      <c r="K1157" s="1">
        <f t="shared" ref="K1157" si="2162">(IF(F1157="SELL",G1157-H1157,IF(F1157="BUY",H1157-G1157)))*E1157</f>
        <v>3900</v>
      </c>
      <c r="L1157" s="43">
        <f>E1157*3.88</f>
        <v>5044</v>
      </c>
      <c r="M1157" s="43">
        <f>E1157*4</f>
        <v>5200</v>
      </c>
      <c r="N1157" s="1">
        <f t="shared" si="2133"/>
        <v>10.88</v>
      </c>
      <c r="O1157" s="1">
        <f t="shared" si="2134"/>
        <v>14144.000000000002</v>
      </c>
      <c r="P1157" s="31"/>
      <c r="Q1157" s="31"/>
      <c r="R1157" s="31"/>
      <c r="S1157" s="31"/>
      <c r="T1157" s="31"/>
      <c r="U1157" s="31"/>
      <c r="V1157" s="31"/>
      <c r="W1157" s="31"/>
      <c r="X1157" s="31"/>
      <c r="Y1157" s="31"/>
      <c r="Z1157" s="31"/>
      <c r="AA1157" s="31"/>
      <c r="AB1157" s="31"/>
      <c r="AC1157" s="31"/>
      <c r="AD1157" s="31"/>
      <c r="AE1157" s="31"/>
      <c r="AF1157" s="31"/>
      <c r="AG1157" s="31"/>
    </row>
    <row r="1158" spans="1:33" s="32" customFormat="1" ht="15" customHeight="1">
      <c r="A1158" s="37">
        <v>43738</v>
      </c>
      <c r="B1158" s="20" t="s">
        <v>369</v>
      </c>
      <c r="C1158" s="20" t="s">
        <v>425</v>
      </c>
      <c r="D1158" s="20">
        <v>180</v>
      </c>
      <c r="E1158" s="38">
        <v>2000</v>
      </c>
      <c r="F1158" s="20" t="s">
        <v>8</v>
      </c>
      <c r="G1158" s="43">
        <v>9</v>
      </c>
      <c r="H1158" s="43">
        <v>10.5</v>
      </c>
      <c r="I1158" s="43">
        <v>0</v>
      </c>
      <c r="J1158" s="43">
        <v>0</v>
      </c>
      <c r="K1158" s="1">
        <f t="shared" ref="K1158" si="2163">(IF(F1158="SELL",G1158-H1158,IF(F1158="BUY",H1158-G1158)))*E1158</f>
        <v>3000</v>
      </c>
      <c r="L1158" s="43">
        <v>0</v>
      </c>
      <c r="M1158" s="43">
        <v>0</v>
      </c>
      <c r="N1158" s="1">
        <f t="shared" si="2133"/>
        <v>1.5</v>
      </c>
      <c r="O1158" s="1">
        <f t="shared" si="2134"/>
        <v>3000</v>
      </c>
      <c r="P1158" s="31"/>
      <c r="Q1158" s="31"/>
      <c r="R1158" s="31"/>
      <c r="S1158" s="31"/>
      <c r="T1158" s="31"/>
      <c r="U1158" s="31"/>
      <c r="V1158" s="31"/>
      <c r="W1158" s="31"/>
      <c r="X1158" s="31"/>
      <c r="Y1158" s="31"/>
      <c r="Z1158" s="31"/>
      <c r="AA1158" s="31"/>
      <c r="AB1158" s="31"/>
      <c r="AC1158" s="31"/>
      <c r="AD1158" s="31"/>
      <c r="AE1158" s="31"/>
      <c r="AF1158" s="31"/>
      <c r="AG1158" s="31"/>
    </row>
    <row r="1159" spans="1:33" s="32" customFormat="1" ht="15" customHeight="1">
      <c r="A1159" s="37">
        <v>43738</v>
      </c>
      <c r="B1159" s="20" t="s">
        <v>457</v>
      </c>
      <c r="C1159" s="20" t="s">
        <v>47</v>
      </c>
      <c r="D1159" s="20">
        <v>470</v>
      </c>
      <c r="E1159" s="38">
        <v>1500</v>
      </c>
      <c r="F1159" s="20" t="s">
        <v>8</v>
      </c>
      <c r="G1159" s="43">
        <v>17.5</v>
      </c>
      <c r="H1159" s="43">
        <v>18.8</v>
      </c>
      <c r="I1159" s="43">
        <v>0</v>
      </c>
      <c r="J1159" s="43">
        <v>0</v>
      </c>
      <c r="K1159" s="1">
        <f t="shared" ref="K1159" si="2164">(IF(F1159="SELL",G1159-H1159,IF(F1159="BUY",H1159-G1159)))*E1159</f>
        <v>1950.0000000000011</v>
      </c>
      <c r="L1159" s="43">
        <v>0</v>
      </c>
      <c r="M1159" s="43">
        <v>0</v>
      </c>
      <c r="N1159" s="1">
        <f t="shared" si="2133"/>
        <v>1.3000000000000007</v>
      </c>
      <c r="O1159" s="1">
        <f t="shared" si="2134"/>
        <v>1950.0000000000011</v>
      </c>
      <c r="P1159" s="31"/>
      <c r="Q1159" s="31"/>
      <c r="R1159" s="31"/>
      <c r="S1159" s="31"/>
      <c r="T1159" s="31"/>
      <c r="U1159" s="31"/>
      <c r="V1159" s="31"/>
      <c r="W1159" s="31"/>
      <c r="X1159" s="31"/>
      <c r="Y1159" s="31"/>
      <c r="Z1159" s="31"/>
      <c r="AA1159" s="31"/>
      <c r="AB1159" s="31"/>
      <c r="AC1159" s="31"/>
      <c r="AD1159" s="31"/>
      <c r="AE1159" s="31"/>
      <c r="AF1159" s="31"/>
      <c r="AG1159" s="31"/>
    </row>
    <row r="1160" spans="1:33" s="32" customFormat="1" ht="15" customHeight="1">
      <c r="A1160" s="37">
        <v>43735</v>
      </c>
      <c r="B1160" s="20" t="s">
        <v>34</v>
      </c>
      <c r="C1160" s="20" t="s">
        <v>425</v>
      </c>
      <c r="D1160" s="20">
        <v>200</v>
      </c>
      <c r="E1160" s="38">
        <v>3500</v>
      </c>
      <c r="F1160" s="20" t="s">
        <v>8</v>
      </c>
      <c r="G1160" s="43">
        <v>12</v>
      </c>
      <c r="H1160" s="43">
        <v>13</v>
      </c>
      <c r="I1160" s="43">
        <v>0</v>
      </c>
      <c r="J1160" s="43">
        <v>0</v>
      </c>
      <c r="K1160" s="1">
        <f t="shared" ref="K1160:K1161" si="2165">(IF(F1160="SELL",G1160-H1160,IF(F1160="BUY",H1160-G1160)))*E1160</f>
        <v>3500</v>
      </c>
      <c r="L1160" s="43">
        <v>0</v>
      </c>
      <c r="M1160" s="43">
        <v>0</v>
      </c>
      <c r="N1160" s="1">
        <f t="shared" si="2133"/>
        <v>1</v>
      </c>
      <c r="O1160" s="1">
        <f t="shared" si="2134"/>
        <v>3500</v>
      </c>
      <c r="P1160" s="31"/>
      <c r="Q1160" s="31"/>
      <c r="R1160" s="31"/>
      <c r="S1160" s="31"/>
      <c r="T1160" s="31"/>
      <c r="U1160" s="31"/>
      <c r="V1160" s="31"/>
      <c r="W1160" s="31"/>
      <c r="X1160" s="31"/>
      <c r="Y1160" s="31"/>
      <c r="Z1160" s="31"/>
      <c r="AA1160" s="31"/>
      <c r="AB1160" s="31"/>
      <c r="AC1160" s="31"/>
      <c r="AD1160" s="31"/>
      <c r="AE1160" s="31"/>
      <c r="AF1160" s="31"/>
      <c r="AG1160" s="31"/>
    </row>
    <row r="1161" spans="1:33" s="32" customFormat="1" ht="15" customHeight="1">
      <c r="A1161" s="37">
        <v>43735</v>
      </c>
      <c r="B1161" s="20" t="s">
        <v>332</v>
      </c>
      <c r="C1161" s="20" t="s">
        <v>425</v>
      </c>
      <c r="D1161" s="20">
        <v>700</v>
      </c>
      <c r="E1161" s="38">
        <v>1200</v>
      </c>
      <c r="F1161" s="20" t="s">
        <v>8</v>
      </c>
      <c r="G1161" s="43">
        <v>18</v>
      </c>
      <c r="H1161" s="43">
        <v>20</v>
      </c>
      <c r="I1161" s="43">
        <v>0</v>
      </c>
      <c r="J1161" s="43">
        <v>0</v>
      </c>
      <c r="K1161" s="1">
        <f t="shared" si="2165"/>
        <v>2400</v>
      </c>
      <c r="L1161" s="43">
        <v>0</v>
      </c>
      <c r="M1161" s="43">
        <v>0</v>
      </c>
      <c r="N1161" s="1">
        <f t="shared" si="2133"/>
        <v>2</v>
      </c>
      <c r="O1161" s="1">
        <f t="shared" si="2134"/>
        <v>2400</v>
      </c>
      <c r="P1161" s="31"/>
      <c r="Q1161" s="31"/>
      <c r="R1161" s="31"/>
      <c r="S1161" s="31"/>
      <c r="T1161" s="31"/>
      <c r="U1161" s="31"/>
      <c r="V1161" s="31"/>
      <c r="W1161" s="31"/>
      <c r="X1161" s="31"/>
      <c r="Y1161" s="31"/>
      <c r="Z1161" s="31"/>
      <c r="AA1161" s="31"/>
      <c r="AB1161" s="31"/>
      <c r="AC1161" s="31"/>
      <c r="AD1161" s="31"/>
      <c r="AE1161" s="31"/>
      <c r="AF1161" s="31"/>
      <c r="AG1161" s="31"/>
    </row>
    <row r="1162" spans="1:33" s="32" customFormat="1" ht="15" customHeight="1">
      <c r="A1162" s="37">
        <v>43733</v>
      </c>
      <c r="B1162" s="20" t="s">
        <v>34</v>
      </c>
      <c r="C1162" s="20" t="s">
        <v>425</v>
      </c>
      <c r="D1162" s="20">
        <v>205</v>
      </c>
      <c r="E1162" s="38">
        <v>3500</v>
      </c>
      <c r="F1162" s="20" t="s">
        <v>8</v>
      </c>
      <c r="G1162" s="43">
        <v>11</v>
      </c>
      <c r="H1162" s="43">
        <v>12</v>
      </c>
      <c r="I1162" s="43">
        <v>13</v>
      </c>
      <c r="J1162" s="43">
        <v>15</v>
      </c>
      <c r="K1162" s="1">
        <f>(IF(F1162="SELL",G1162-H1162,IF(F1162="BUY",H1162-G1162)))*E1162</f>
        <v>3500</v>
      </c>
      <c r="L1162" s="43">
        <f>E1162*1</f>
        <v>3500</v>
      </c>
      <c r="M1162" s="43">
        <f>E1162*2</f>
        <v>7000</v>
      </c>
      <c r="N1162" s="1">
        <f t="shared" si="2133"/>
        <v>4</v>
      </c>
      <c r="O1162" s="1">
        <f t="shared" si="2134"/>
        <v>14000</v>
      </c>
      <c r="P1162" s="31"/>
      <c r="Q1162" s="31"/>
      <c r="R1162" s="31"/>
      <c r="S1162" s="31"/>
      <c r="T1162" s="31"/>
      <c r="U1162" s="31"/>
      <c r="V1162" s="31"/>
      <c r="W1162" s="31"/>
      <c r="X1162" s="31"/>
      <c r="Y1162" s="31"/>
      <c r="Z1162" s="31"/>
      <c r="AA1162" s="31"/>
      <c r="AB1162" s="31"/>
      <c r="AC1162" s="31"/>
      <c r="AD1162" s="31"/>
      <c r="AE1162" s="31"/>
      <c r="AF1162" s="31"/>
      <c r="AG1162" s="31"/>
    </row>
    <row r="1163" spans="1:33" s="32" customFormat="1" ht="15" customHeight="1">
      <c r="A1163" s="37">
        <v>43733</v>
      </c>
      <c r="B1163" s="20" t="s">
        <v>404</v>
      </c>
      <c r="C1163" s="20" t="s">
        <v>425</v>
      </c>
      <c r="D1163" s="20">
        <v>130</v>
      </c>
      <c r="E1163" s="38">
        <v>6000</v>
      </c>
      <c r="F1163" s="20" t="s">
        <v>8</v>
      </c>
      <c r="G1163" s="43">
        <v>3</v>
      </c>
      <c r="H1163" s="43">
        <v>3.5</v>
      </c>
      <c r="I1163" s="43">
        <v>4.5</v>
      </c>
      <c r="J1163" s="43">
        <v>5.15</v>
      </c>
      <c r="K1163" s="1">
        <f t="shared" ref="K1163" si="2166">(IF(F1163="SELL",G1163-H1163,IF(F1163="BUY",H1163-G1163)))*E1163</f>
        <v>3000</v>
      </c>
      <c r="L1163" s="43">
        <f>E1163*1</f>
        <v>6000</v>
      </c>
      <c r="M1163" s="43">
        <f>E1163*0.65</f>
        <v>3900</v>
      </c>
      <c r="N1163" s="1">
        <f t="shared" si="2133"/>
        <v>2.15</v>
      </c>
      <c r="O1163" s="1">
        <f t="shared" si="2134"/>
        <v>12900</v>
      </c>
      <c r="P1163" s="31"/>
      <c r="Q1163" s="31"/>
      <c r="R1163" s="31"/>
      <c r="S1163" s="31"/>
      <c r="T1163" s="31"/>
      <c r="U1163" s="31"/>
      <c r="V1163" s="31"/>
      <c r="W1163" s="31"/>
      <c r="X1163" s="31"/>
      <c r="Y1163" s="31"/>
      <c r="Z1163" s="31"/>
      <c r="AA1163" s="31"/>
      <c r="AB1163" s="31"/>
      <c r="AC1163" s="31"/>
      <c r="AD1163" s="31"/>
      <c r="AE1163" s="31"/>
      <c r="AF1163" s="31"/>
      <c r="AG1163" s="31"/>
    </row>
    <row r="1164" spans="1:33" s="32" customFormat="1" ht="15" customHeight="1">
      <c r="A1164" s="37">
        <v>43732</v>
      </c>
      <c r="B1164" s="20" t="s">
        <v>21</v>
      </c>
      <c r="C1164" s="20" t="s">
        <v>425</v>
      </c>
      <c r="D1164" s="20">
        <v>210</v>
      </c>
      <c r="E1164" s="38">
        <v>3000</v>
      </c>
      <c r="F1164" s="20" t="s">
        <v>8</v>
      </c>
      <c r="G1164" s="43">
        <v>7.25</v>
      </c>
      <c r="H1164" s="43">
        <v>6</v>
      </c>
      <c r="I1164" s="43">
        <v>0</v>
      </c>
      <c r="J1164" s="43">
        <v>0</v>
      </c>
      <c r="K1164" s="1">
        <f t="shared" ref="K1164" si="2167">(IF(F1164="SELL",G1164-H1164,IF(F1164="BUY",H1164-G1164)))*E1164</f>
        <v>-3750</v>
      </c>
      <c r="L1164" s="43">
        <v>0</v>
      </c>
      <c r="M1164" s="43">
        <v>0</v>
      </c>
      <c r="N1164" s="1">
        <f t="shared" si="2133"/>
        <v>-1.25</v>
      </c>
      <c r="O1164" s="1">
        <f t="shared" si="2134"/>
        <v>-3750</v>
      </c>
      <c r="P1164" s="31"/>
      <c r="Q1164" s="31"/>
      <c r="R1164" s="31"/>
      <c r="S1164" s="31"/>
      <c r="T1164" s="31"/>
      <c r="U1164" s="31"/>
      <c r="V1164" s="31"/>
      <c r="W1164" s="31"/>
      <c r="X1164" s="31"/>
      <c r="Y1164" s="31"/>
      <c r="Z1164" s="31"/>
      <c r="AA1164" s="31"/>
      <c r="AB1164" s="31"/>
      <c r="AC1164" s="31"/>
      <c r="AD1164" s="31"/>
      <c r="AE1164" s="31"/>
      <c r="AF1164" s="31"/>
      <c r="AG1164" s="31"/>
    </row>
    <row r="1165" spans="1:33" s="32" customFormat="1" ht="15" customHeight="1">
      <c r="A1165" s="37">
        <v>43731</v>
      </c>
      <c r="B1165" s="20" t="s">
        <v>109</v>
      </c>
      <c r="C1165" s="20" t="s">
        <v>425</v>
      </c>
      <c r="D1165" s="20">
        <v>237.5</v>
      </c>
      <c r="E1165" s="38">
        <v>3200</v>
      </c>
      <c r="F1165" s="20" t="s">
        <v>8</v>
      </c>
      <c r="G1165" s="43">
        <v>1.6</v>
      </c>
      <c r="H1165" s="43">
        <v>2.6</v>
      </c>
      <c r="I1165" s="43">
        <v>0</v>
      </c>
      <c r="J1165" s="43">
        <v>0</v>
      </c>
      <c r="K1165" s="1">
        <f t="shared" ref="K1165" si="2168">(IF(F1165="SELL",G1165-H1165,IF(F1165="BUY",H1165-G1165)))*E1165</f>
        <v>3200</v>
      </c>
      <c r="L1165" s="43">
        <v>0</v>
      </c>
      <c r="M1165" s="43">
        <v>0</v>
      </c>
      <c r="N1165" s="1">
        <f t="shared" si="2133"/>
        <v>1</v>
      </c>
      <c r="O1165" s="1">
        <f t="shared" si="2134"/>
        <v>3200</v>
      </c>
      <c r="P1165" s="31"/>
      <c r="Q1165" s="31"/>
      <c r="R1165" s="31"/>
      <c r="S1165" s="31"/>
      <c r="T1165" s="31"/>
      <c r="U1165" s="31"/>
      <c r="V1165" s="31"/>
      <c r="W1165" s="31"/>
      <c r="X1165" s="31"/>
      <c r="Y1165" s="31"/>
      <c r="Z1165" s="31"/>
      <c r="AA1165" s="31"/>
      <c r="AB1165" s="31"/>
      <c r="AC1165" s="31"/>
      <c r="AD1165" s="31"/>
      <c r="AE1165" s="31"/>
      <c r="AF1165" s="31"/>
      <c r="AG1165" s="31"/>
    </row>
    <row r="1166" spans="1:33" s="32" customFormat="1" ht="15" customHeight="1">
      <c r="A1166" s="37">
        <v>43731</v>
      </c>
      <c r="B1166" s="20" t="s">
        <v>30</v>
      </c>
      <c r="C1166" s="20" t="s">
        <v>47</v>
      </c>
      <c r="D1166" s="20">
        <v>460</v>
      </c>
      <c r="E1166" s="38">
        <v>1375</v>
      </c>
      <c r="F1166" s="20" t="s">
        <v>8</v>
      </c>
      <c r="G1166" s="43">
        <v>3.2</v>
      </c>
      <c r="H1166" s="43">
        <v>5.2</v>
      </c>
      <c r="I1166" s="43">
        <v>0</v>
      </c>
      <c r="J1166" s="43">
        <v>0</v>
      </c>
      <c r="K1166" s="1">
        <f t="shared" ref="K1166" si="2169">(IF(F1166="SELL",G1166-H1166,IF(F1166="BUY",H1166-G1166)))*E1166</f>
        <v>2750</v>
      </c>
      <c r="L1166" s="43">
        <v>0</v>
      </c>
      <c r="M1166" s="43">
        <v>0</v>
      </c>
      <c r="N1166" s="1">
        <f t="shared" si="2133"/>
        <v>2</v>
      </c>
      <c r="O1166" s="1">
        <f t="shared" si="2134"/>
        <v>2750</v>
      </c>
      <c r="P1166" s="31"/>
      <c r="Q1166" s="31"/>
      <c r="R1166" s="31"/>
      <c r="S1166" s="31"/>
      <c r="T1166" s="31"/>
      <c r="U1166" s="31"/>
      <c r="V1166" s="31"/>
      <c r="W1166" s="31"/>
      <c r="X1166" s="31"/>
      <c r="Y1166" s="31"/>
      <c r="Z1166" s="31"/>
      <c r="AA1166" s="31"/>
      <c r="AB1166" s="31"/>
      <c r="AC1166" s="31"/>
      <c r="AD1166" s="31"/>
      <c r="AE1166" s="31"/>
      <c r="AF1166" s="31"/>
      <c r="AG1166" s="31"/>
    </row>
    <row r="1167" spans="1:33" s="32" customFormat="1" ht="15" customHeight="1">
      <c r="A1167" s="37">
        <v>43728</v>
      </c>
      <c r="B1167" s="20" t="s">
        <v>456</v>
      </c>
      <c r="C1167" s="20" t="s">
        <v>425</v>
      </c>
      <c r="D1167" s="20">
        <v>1460</v>
      </c>
      <c r="E1167" s="38">
        <v>400</v>
      </c>
      <c r="F1167" s="20" t="s">
        <v>8</v>
      </c>
      <c r="G1167" s="43">
        <v>23</v>
      </c>
      <c r="H1167" s="43">
        <v>30</v>
      </c>
      <c r="I1167" s="43">
        <v>38</v>
      </c>
      <c r="J1167" s="43">
        <v>50</v>
      </c>
      <c r="K1167" s="1">
        <f t="shared" ref="K1167" si="2170">(IF(F1167="SELL",G1167-H1167,IF(F1167="BUY",H1167-G1167)))*E1167</f>
        <v>2800</v>
      </c>
      <c r="L1167" s="43">
        <f>E1167*8</f>
        <v>3200</v>
      </c>
      <c r="M1167" s="43">
        <f>E1167*12</f>
        <v>4800</v>
      </c>
      <c r="N1167" s="1">
        <f t="shared" si="2133"/>
        <v>27</v>
      </c>
      <c r="O1167" s="1">
        <f t="shared" si="2134"/>
        <v>10800</v>
      </c>
      <c r="P1167" s="31"/>
      <c r="Q1167" s="31"/>
      <c r="R1167" s="31"/>
      <c r="S1167" s="31"/>
      <c r="T1167" s="31"/>
      <c r="U1167" s="31"/>
      <c r="V1167" s="31"/>
      <c r="W1167" s="31"/>
      <c r="X1167" s="31"/>
      <c r="Y1167" s="31"/>
      <c r="Z1167" s="31"/>
      <c r="AA1167" s="31"/>
      <c r="AB1167" s="31"/>
      <c r="AC1167" s="31"/>
      <c r="AD1167" s="31"/>
      <c r="AE1167" s="31"/>
      <c r="AF1167" s="31"/>
      <c r="AG1167" s="31"/>
    </row>
    <row r="1168" spans="1:33" s="32" customFormat="1" ht="15" customHeight="1">
      <c r="A1168" s="37">
        <v>43728</v>
      </c>
      <c r="B1168" s="20" t="s">
        <v>54</v>
      </c>
      <c r="C1168" s="20" t="s">
        <v>425</v>
      </c>
      <c r="D1168" s="20">
        <v>380</v>
      </c>
      <c r="E1168" s="38">
        <v>1000</v>
      </c>
      <c r="F1168" s="20" t="s">
        <v>8</v>
      </c>
      <c r="G1168" s="43">
        <v>8.5</v>
      </c>
      <c r="H1168" s="43">
        <v>12.5</v>
      </c>
      <c r="I1168" s="43">
        <v>0</v>
      </c>
      <c r="J1168" s="43">
        <v>0</v>
      </c>
      <c r="K1168" s="1">
        <f t="shared" ref="K1168:K1169" si="2171">(IF(F1168="SELL",G1168-H1168,IF(F1168="BUY",H1168-G1168)))*E1168</f>
        <v>4000</v>
      </c>
      <c r="L1168" s="43">
        <v>0</v>
      </c>
      <c r="M1168" s="43">
        <v>0</v>
      </c>
      <c r="N1168" s="1">
        <f t="shared" si="2133"/>
        <v>4</v>
      </c>
      <c r="O1168" s="1">
        <f t="shared" si="2134"/>
        <v>4000</v>
      </c>
      <c r="P1168" s="31"/>
      <c r="Q1168" s="31"/>
      <c r="R1168" s="31"/>
      <c r="S1168" s="31"/>
      <c r="T1168" s="31"/>
      <c r="U1168" s="31"/>
      <c r="V1168" s="31"/>
      <c r="W1168" s="31"/>
      <c r="X1168" s="31"/>
      <c r="Y1168" s="31"/>
      <c r="Z1168" s="31"/>
      <c r="AA1168" s="31"/>
      <c r="AB1168" s="31"/>
      <c r="AC1168" s="31"/>
      <c r="AD1168" s="31"/>
      <c r="AE1168" s="31"/>
      <c r="AF1168" s="31"/>
      <c r="AG1168" s="31"/>
    </row>
    <row r="1169" spans="1:33" s="32" customFormat="1" ht="15" customHeight="1">
      <c r="A1169" s="37">
        <v>43727</v>
      </c>
      <c r="B1169" s="20" t="s">
        <v>10</v>
      </c>
      <c r="C1169" s="20" t="s">
        <v>425</v>
      </c>
      <c r="D1169" s="20">
        <v>650</v>
      </c>
      <c r="E1169" s="38">
        <v>1000</v>
      </c>
      <c r="F1169" s="20" t="s">
        <v>8</v>
      </c>
      <c r="G1169" s="43">
        <v>17.600000000000001</v>
      </c>
      <c r="H1169" s="43">
        <v>19.600000000000001</v>
      </c>
      <c r="I1169" s="43">
        <v>0</v>
      </c>
      <c r="J1169" s="43">
        <v>0</v>
      </c>
      <c r="K1169" s="1">
        <f t="shared" si="2171"/>
        <v>2000</v>
      </c>
      <c r="L1169" s="43">
        <v>0</v>
      </c>
      <c r="M1169" s="43">
        <v>0</v>
      </c>
      <c r="N1169" s="1">
        <f t="shared" si="2133"/>
        <v>2</v>
      </c>
      <c r="O1169" s="1">
        <f t="shared" si="2134"/>
        <v>2000</v>
      </c>
      <c r="P1169" s="31"/>
      <c r="Q1169" s="31"/>
      <c r="R1169" s="31"/>
      <c r="S1169" s="31"/>
      <c r="T1169" s="31"/>
      <c r="U1169" s="31"/>
      <c r="V1169" s="31"/>
      <c r="W1169" s="31"/>
      <c r="X1169" s="31"/>
      <c r="Y1169" s="31"/>
      <c r="Z1169" s="31"/>
      <c r="AA1169" s="31"/>
      <c r="AB1169" s="31"/>
      <c r="AC1169" s="31"/>
      <c r="AD1169" s="31"/>
      <c r="AE1169" s="31"/>
      <c r="AF1169" s="31"/>
      <c r="AG1169" s="31"/>
    </row>
    <row r="1170" spans="1:33" s="32" customFormat="1" ht="15" customHeight="1">
      <c r="A1170" s="37">
        <v>43727</v>
      </c>
      <c r="B1170" s="20" t="s">
        <v>326</v>
      </c>
      <c r="C1170" s="20" t="s">
        <v>425</v>
      </c>
      <c r="D1170" s="20">
        <v>202.5</v>
      </c>
      <c r="E1170" s="38">
        <v>4000</v>
      </c>
      <c r="F1170" s="20" t="s">
        <v>8</v>
      </c>
      <c r="G1170" s="43">
        <v>3.5</v>
      </c>
      <c r="H1170" s="43">
        <v>4.3499999999999996</v>
      </c>
      <c r="I1170" s="43">
        <v>0</v>
      </c>
      <c r="J1170" s="43">
        <v>0</v>
      </c>
      <c r="K1170" s="1">
        <f t="shared" ref="K1170" si="2172">(IF(F1170="SELL",G1170-H1170,IF(F1170="BUY",H1170-G1170)))*E1170</f>
        <v>3399.9999999999986</v>
      </c>
      <c r="L1170" s="43">
        <v>0</v>
      </c>
      <c r="M1170" s="43">
        <v>0</v>
      </c>
      <c r="N1170" s="1">
        <f t="shared" si="2133"/>
        <v>0.84999999999999964</v>
      </c>
      <c r="O1170" s="1">
        <f t="shared" si="2134"/>
        <v>3399.9999999999986</v>
      </c>
      <c r="P1170" s="31"/>
      <c r="Q1170" s="31"/>
      <c r="R1170" s="31"/>
      <c r="S1170" s="31"/>
      <c r="T1170" s="31"/>
      <c r="U1170" s="31"/>
      <c r="V1170" s="31"/>
      <c r="W1170" s="31"/>
      <c r="X1170" s="31"/>
      <c r="Y1170" s="31"/>
      <c r="Z1170" s="31"/>
      <c r="AA1170" s="31"/>
      <c r="AB1170" s="31"/>
      <c r="AC1170" s="31"/>
      <c r="AD1170" s="31"/>
      <c r="AE1170" s="31"/>
      <c r="AF1170" s="31"/>
      <c r="AG1170" s="31"/>
    </row>
    <row r="1171" spans="1:33" s="32" customFormat="1" ht="15" customHeight="1">
      <c r="A1171" s="37">
        <v>43726</v>
      </c>
      <c r="B1171" s="20" t="s">
        <v>24</v>
      </c>
      <c r="C1171" s="20" t="s">
        <v>425</v>
      </c>
      <c r="D1171" s="20">
        <v>125</v>
      </c>
      <c r="E1171" s="38">
        <v>3000</v>
      </c>
      <c r="F1171" s="20" t="s">
        <v>8</v>
      </c>
      <c r="G1171" s="43">
        <v>6.2</v>
      </c>
      <c r="H1171" s="43">
        <v>6</v>
      </c>
      <c r="I1171" s="43">
        <v>0</v>
      </c>
      <c r="J1171" s="43">
        <v>0</v>
      </c>
      <c r="K1171" s="1">
        <f t="shared" ref="K1171" si="2173">(IF(F1171="SELL",G1171-H1171,IF(F1171="BUY",H1171-G1171)))*E1171</f>
        <v>-600.00000000000057</v>
      </c>
      <c r="L1171" s="43">
        <v>0</v>
      </c>
      <c r="M1171" s="43">
        <v>0</v>
      </c>
      <c r="N1171" s="1">
        <f t="shared" si="2133"/>
        <v>-0.20000000000000018</v>
      </c>
      <c r="O1171" s="1">
        <f t="shared" si="2134"/>
        <v>-600.00000000000057</v>
      </c>
      <c r="P1171" s="31"/>
      <c r="Q1171" s="31"/>
      <c r="R1171" s="31"/>
      <c r="S1171" s="31"/>
      <c r="T1171" s="31"/>
      <c r="U1171" s="31"/>
      <c r="V1171" s="31"/>
      <c r="W1171" s="31"/>
      <c r="X1171" s="31"/>
      <c r="Y1171" s="31"/>
      <c r="Z1171" s="31"/>
      <c r="AA1171" s="31"/>
      <c r="AB1171" s="31"/>
      <c r="AC1171" s="31"/>
      <c r="AD1171" s="31"/>
      <c r="AE1171" s="31"/>
      <c r="AF1171" s="31"/>
      <c r="AG1171" s="31"/>
    </row>
    <row r="1172" spans="1:33" s="32" customFormat="1" ht="15" customHeight="1">
      <c r="A1172" s="37">
        <v>43726</v>
      </c>
      <c r="B1172" s="20" t="s">
        <v>175</v>
      </c>
      <c r="C1172" s="20" t="s">
        <v>47</v>
      </c>
      <c r="D1172" s="20">
        <v>3550</v>
      </c>
      <c r="E1172" s="38">
        <v>250</v>
      </c>
      <c r="F1172" s="20" t="s">
        <v>8</v>
      </c>
      <c r="G1172" s="43">
        <v>30</v>
      </c>
      <c r="H1172" s="43">
        <v>23</v>
      </c>
      <c r="I1172" s="43">
        <v>0</v>
      </c>
      <c r="J1172" s="43">
        <v>0</v>
      </c>
      <c r="K1172" s="1">
        <f t="shared" ref="K1172" si="2174">(IF(F1172="SELL",G1172-H1172,IF(F1172="BUY",H1172-G1172)))*E1172</f>
        <v>-1750</v>
      </c>
      <c r="L1172" s="43">
        <v>0</v>
      </c>
      <c r="M1172" s="43">
        <v>0</v>
      </c>
      <c r="N1172" s="1">
        <f t="shared" si="2133"/>
        <v>-7</v>
      </c>
      <c r="O1172" s="1">
        <f t="shared" si="2134"/>
        <v>-1750</v>
      </c>
      <c r="P1172" s="31"/>
      <c r="Q1172" s="31"/>
      <c r="R1172" s="31"/>
      <c r="S1172" s="31"/>
      <c r="T1172" s="31"/>
      <c r="U1172" s="31"/>
      <c r="V1172" s="31"/>
      <c r="W1172" s="31"/>
      <c r="X1172" s="31"/>
      <c r="Y1172" s="31"/>
      <c r="Z1172" s="31"/>
      <c r="AA1172" s="31"/>
      <c r="AB1172" s="31"/>
      <c r="AC1172" s="31"/>
      <c r="AD1172" s="31"/>
      <c r="AE1172" s="31"/>
      <c r="AF1172" s="31"/>
      <c r="AG1172" s="31"/>
    </row>
    <row r="1173" spans="1:33" s="32" customFormat="1" ht="15" customHeight="1">
      <c r="A1173" s="37">
        <v>43725</v>
      </c>
      <c r="B1173" s="20" t="s">
        <v>15</v>
      </c>
      <c r="C1173" s="20" t="s">
        <v>425</v>
      </c>
      <c r="D1173" s="20">
        <v>380</v>
      </c>
      <c r="E1173" s="38">
        <v>1100</v>
      </c>
      <c r="F1173" s="20" t="s">
        <v>8</v>
      </c>
      <c r="G1173" s="43">
        <v>8.6</v>
      </c>
      <c r="H1173" s="43">
        <v>10.6</v>
      </c>
      <c r="I1173" s="43">
        <v>12.8</v>
      </c>
      <c r="J1173" s="43">
        <v>15</v>
      </c>
      <c r="K1173" s="1">
        <f t="shared" ref="K1173" si="2175">(IF(F1173="SELL",G1173-H1173,IF(F1173="BUY",H1173-G1173)))*E1173</f>
        <v>2200</v>
      </c>
      <c r="L1173" s="43">
        <f>E1173*2.2</f>
        <v>2420</v>
      </c>
      <c r="M1173" s="43">
        <f>E1173*2.2</f>
        <v>2420</v>
      </c>
      <c r="N1173" s="1">
        <f t="shared" si="2133"/>
        <v>6.4</v>
      </c>
      <c r="O1173" s="1">
        <f t="shared" si="2134"/>
        <v>7040</v>
      </c>
      <c r="P1173" s="31"/>
      <c r="Q1173" s="31"/>
      <c r="R1173" s="31"/>
      <c r="S1173" s="31"/>
      <c r="T1173" s="31"/>
      <c r="U1173" s="31"/>
      <c r="V1173" s="31"/>
      <c r="W1173" s="31"/>
      <c r="X1173" s="31"/>
      <c r="Y1173" s="31"/>
      <c r="Z1173" s="31"/>
      <c r="AA1173" s="31"/>
      <c r="AB1173" s="31"/>
      <c r="AC1173" s="31"/>
      <c r="AD1173" s="31"/>
      <c r="AE1173" s="31"/>
      <c r="AF1173" s="31"/>
      <c r="AG1173" s="31"/>
    </row>
    <row r="1174" spans="1:33" s="32" customFormat="1" ht="15" customHeight="1">
      <c r="A1174" s="37">
        <v>43725</v>
      </c>
      <c r="B1174" s="20" t="s">
        <v>455</v>
      </c>
      <c r="C1174" s="20" t="s">
        <v>425</v>
      </c>
      <c r="D1174" s="20">
        <v>57.5</v>
      </c>
      <c r="E1174" s="38">
        <v>6000</v>
      </c>
      <c r="F1174" s="20" t="s">
        <v>8</v>
      </c>
      <c r="G1174" s="43">
        <v>2.1</v>
      </c>
      <c r="H1174" s="43">
        <v>2.6</v>
      </c>
      <c r="I1174" s="43">
        <v>3</v>
      </c>
      <c r="J1174" s="43">
        <v>0</v>
      </c>
      <c r="K1174" s="1">
        <f t="shared" ref="K1174" si="2176">(IF(F1174="SELL",G1174-H1174,IF(F1174="BUY",H1174-G1174)))*E1174</f>
        <v>3000</v>
      </c>
      <c r="L1174" s="43">
        <f>E1174*0.4</f>
        <v>2400</v>
      </c>
      <c r="M1174" s="43">
        <v>0</v>
      </c>
      <c r="N1174" s="1">
        <f t="shared" si="2133"/>
        <v>0.9</v>
      </c>
      <c r="O1174" s="1">
        <f t="shared" si="2134"/>
        <v>5400</v>
      </c>
      <c r="P1174" s="31"/>
      <c r="Q1174" s="31"/>
      <c r="R1174" s="31"/>
      <c r="S1174" s="31"/>
      <c r="T1174" s="31"/>
      <c r="U1174" s="31"/>
      <c r="V1174" s="31"/>
      <c r="W1174" s="31"/>
      <c r="X1174" s="31"/>
      <c r="Y1174" s="31"/>
      <c r="Z1174" s="31"/>
      <c r="AA1174" s="31"/>
      <c r="AB1174" s="31"/>
      <c r="AC1174" s="31"/>
      <c r="AD1174" s="31"/>
      <c r="AE1174" s="31"/>
      <c r="AF1174" s="31"/>
      <c r="AG1174" s="31"/>
    </row>
    <row r="1175" spans="1:33" s="32" customFormat="1" ht="15" customHeight="1">
      <c r="A1175" s="37">
        <v>43725</v>
      </c>
      <c r="B1175" s="20" t="s">
        <v>422</v>
      </c>
      <c r="C1175" s="20" t="s">
        <v>47</v>
      </c>
      <c r="D1175" s="20">
        <v>1750</v>
      </c>
      <c r="E1175" s="38">
        <v>600</v>
      </c>
      <c r="F1175" s="20" t="s">
        <v>8</v>
      </c>
      <c r="G1175" s="43">
        <v>14</v>
      </c>
      <c r="H1175" s="43">
        <v>11.5</v>
      </c>
      <c r="I1175" s="43">
        <v>0</v>
      </c>
      <c r="J1175" s="43">
        <v>0</v>
      </c>
      <c r="K1175" s="1">
        <f t="shared" ref="K1175" si="2177">(IF(F1175="SELL",G1175-H1175,IF(F1175="BUY",H1175-G1175)))*E1175</f>
        <v>-1500</v>
      </c>
      <c r="L1175" s="43">
        <v>0</v>
      </c>
      <c r="M1175" s="43">
        <v>0</v>
      </c>
      <c r="N1175" s="1">
        <f t="shared" si="2133"/>
        <v>-2.5</v>
      </c>
      <c r="O1175" s="1">
        <f t="shared" si="2134"/>
        <v>-1500</v>
      </c>
      <c r="P1175" s="31"/>
      <c r="Q1175" s="31"/>
      <c r="R1175" s="31"/>
      <c r="S1175" s="31"/>
      <c r="T1175" s="31"/>
      <c r="U1175" s="31"/>
      <c r="V1175" s="31"/>
      <c r="W1175" s="31"/>
      <c r="X1175" s="31"/>
      <c r="Y1175" s="31"/>
      <c r="Z1175" s="31"/>
      <c r="AA1175" s="31"/>
      <c r="AB1175" s="31"/>
      <c r="AC1175" s="31"/>
      <c r="AD1175" s="31"/>
      <c r="AE1175" s="31"/>
      <c r="AF1175" s="31"/>
      <c r="AG1175" s="31"/>
    </row>
    <row r="1176" spans="1:33" s="32" customFormat="1" ht="15" customHeight="1">
      <c r="A1176" s="37">
        <v>43724</v>
      </c>
      <c r="B1176" s="20" t="s">
        <v>386</v>
      </c>
      <c r="C1176" s="20" t="s">
        <v>47</v>
      </c>
      <c r="D1176" s="20">
        <v>1180</v>
      </c>
      <c r="E1176" s="38">
        <v>750</v>
      </c>
      <c r="F1176" s="20" t="s">
        <v>8</v>
      </c>
      <c r="G1176" s="43">
        <v>8.5</v>
      </c>
      <c r="H1176" s="43">
        <v>10.5</v>
      </c>
      <c r="I1176" s="43">
        <v>0</v>
      </c>
      <c r="J1176" s="43">
        <v>0</v>
      </c>
      <c r="K1176" s="1">
        <f t="shared" ref="K1176" si="2178">(IF(F1176="SELL",G1176-H1176,IF(F1176="BUY",H1176-G1176)))*E1176</f>
        <v>1500</v>
      </c>
      <c r="L1176" s="43">
        <v>0</v>
      </c>
      <c r="M1176" s="43">
        <v>0</v>
      </c>
      <c r="N1176" s="1">
        <f t="shared" si="2133"/>
        <v>2</v>
      </c>
      <c r="O1176" s="1">
        <f t="shared" si="2134"/>
        <v>1500</v>
      </c>
      <c r="P1176" s="31"/>
      <c r="Q1176" s="31"/>
      <c r="R1176" s="31"/>
      <c r="S1176" s="31"/>
      <c r="T1176" s="31"/>
      <c r="U1176" s="31"/>
      <c r="V1176" s="31"/>
      <c r="W1176" s="31"/>
      <c r="X1176" s="31"/>
      <c r="Y1176" s="31"/>
      <c r="Z1176" s="31"/>
      <c r="AA1176" s="31"/>
      <c r="AB1176" s="31"/>
      <c r="AC1176" s="31"/>
      <c r="AD1176" s="31"/>
      <c r="AE1176" s="31"/>
      <c r="AF1176" s="31"/>
      <c r="AG1176" s="31"/>
    </row>
    <row r="1177" spans="1:33" s="32" customFormat="1" ht="15" customHeight="1">
      <c r="A1177" s="37">
        <v>43724</v>
      </c>
      <c r="B1177" s="20" t="s">
        <v>190</v>
      </c>
      <c r="C1177" s="20" t="s">
        <v>47</v>
      </c>
      <c r="D1177" s="20">
        <v>1580</v>
      </c>
      <c r="E1177" s="38">
        <v>550</v>
      </c>
      <c r="F1177" s="20" t="s">
        <v>8</v>
      </c>
      <c r="G1177" s="43">
        <v>22.5</v>
      </c>
      <c r="H1177" s="43">
        <v>20.55</v>
      </c>
      <c r="I1177" s="43">
        <v>0</v>
      </c>
      <c r="J1177" s="43">
        <v>0</v>
      </c>
      <c r="K1177" s="1">
        <f t="shared" ref="K1177" si="2179">(IF(F1177="SELL",G1177-H1177,IF(F1177="BUY",H1177-G1177)))*E1177</f>
        <v>-1072.4999999999995</v>
      </c>
      <c r="L1177" s="43">
        <v>0</v>
      </c>
      <c r="M1177" s="43">
        <v>0</v>
      </c>
      <c r="N1177" s="1">
        <f t="shared" si="2133"/>
        <v>-1.9499999999999991</v>
      </c>
      <c r="O1177" s="1">
        <f t="shared" si="2134"/>
        <v>-1072.4999999999995</v>
      </c>
      <c r="P1177" s="31"/>
      <c r="Q1177" s="31"/>
      <c r="R1177" s="31"/>
      <c r="S1177" s="31"/>
      <c r="T1177" s="31"/>
      <c r="U1177" s="31"/>
      <c r="V1177" s="31"/>
      <c r="W1177" s="31"/>
      <c r="X1177" s="31"/>
      <c r="Y1177" s="31"/>
      <c r="Z1177" s="31"/>
      <c r="AA1177" s="31"/>
      <c r="AB1177" s="31"/>
      <c r="AC1177" s="31"/>
      <c r="AD1177" s="31"/>
      <c r="AE1177" s="31"/>
      <c r="AF1177" s="31"/>
      <c r="AG1177" s="31"/>
    </row>
    <row r="1178" spans="1:33" s="32" customFormat="1" ht="15" customHeight="1">
      <c r="A1178" s="37">
        <v>43724</v>
      </c>
      <c r="B1178" s="20" t="s">
        <v>37</v>
      </c>
      <c r="C1178" s="20" t="s">
        <v>47</v>
      </c>
      <c r="D1178" s="20">
        <v>2140</v>
      </c>
      <c r="E1178" s="38">
        <v>250</v>
      </c>
      <c r="F1178" s="20" t="s">
        <v>8</v>
      </c>
      <c r="G1178" s="43">
        <v>52</v>
      </c>
      <c r="H1178" s="43">
        <v>40</v>
      </c>
      <c r="I1178" s="43">
        <v>0</v>
      </c>
      <c r="J1178" s="43">
        <v>0</v>
      </c>
      <c r="K1178" s="1">
        <f t="shared" ref="K1178" si="2180">(IF(F1178="SELL",G1178-H1178,IF(F1178="BUY",H1178-G1178)))*E1178</f>
        <v>-3000</v>
      </c>
      <c r="L1178" s="43">
        <v>0</v>
      </c>
      <c r="M1178" s="43">
        <v>0</v>
      </c>
      <c r="N1178" s="1">
        <f t="shared" si="2133"/>
        <v>-12</v>
      </c>
      <c r="O1178" s="1">
        <f t="shared" si="2134"/>
        <v>-3000</v>
      </c>
      <c r="P1178" s="31"/>
      <c r="Q1178" s="31"/>
      <c r="R1178" s="31"/>
      <c r="S1178" s="31"/>
      <c r="T1178" s="31"/>
      <c r="U1178" s="31"/>
      <c r="V1178" s="31"/>
      <c r="W1178" s="31"/>
      <c r="X1178" s="31"/>
      <c r="Y1178" s="31"/>
      <c r="Z1178" s="31"/>
      <c r="AA1178" s="31"/>
      <c r="AB1178" s="31"/>
      <c r="AC1178" s="31"/>
      <c r="AD1178" s="31"/>
      <c r="AE1178" s="31"/>
      <c r="AF1178" s="31"/>
      <c r="AG1178" s="31"/>
    </row>
    <row r="1179" spans="1:33" s="32" customFormat="1" ht="15" customHeight="1">
      <c r="A1179" s="37">
        <v>43721</v>
      </c>
      <c r="B1179" s="20" t="s">
        <v>421</v>
      </c>
      <c r="C1179" s="20" t="s">
        <v>47</v>
      </c>
      <c r="D1179" s="20">
        <v>300</v>
      </c>
      <c r="E1179" s="38">
        <v>3000</v>
      </c>
      <c r="F1179" s="20" t="s">
        <v>8</v>
      </c>
      <c r="G1179" s="43">
        <v>2.5</v>
      </c>
      <c r="H1179" s="43">
        <v>3</v>
      </c>
      <c r="I1179" s="43">
        <v>0</v>
      </c>
      <c r="J1179" s="43">
        <v>0</v>
      </c>
      <c r="K1179" s="1">
        <f t="shared" ref="K1179" si="2181">(IF(F1179="SELL",G1179-H1179,IF(F1179="BUY",H1179-G1179)))*E1179</f>
        <v>1500</v>
      </c>
      <c r="L1179" s="43">
        <v>0</v>
      </c>
      <c r="M1179" s="43">
        <v>0</v>
      </c>
      <c r="N1179" s="1">
        <f t="shared" si="2133"/>
        <v>0.5</v>
      </c>
      <c r="O1179" s="1">
        <f t="shared" si="2134"/>
        <v>1500</v>
      </c>
      <c r="P1179" s="31"/>
      <c r="Q1179" s="31"/>
      <c r="R1179" s="31"/>
      <c r="S1179" s="31"/>
      <c r="T1179" s="31"/>
      <c r="U1179" s="31"/>
      <c r="V1179" s="31"/>
      <c r="W1179" s="31"/>
      <c r="X1179" s="31"/>
      <c r="Y1179" s="31"/>
      <c r="Z1179" s="31"/>
      <c r="AA1179" s="31"/>
      <c r="AB1179" s="31"/>
      <c r="AC1179" s="31"/>
      <c r="AD1179" s="31"/>
      <c r="AE1179" s="31"/>
      <c r="AF1179" s="31"/>
      <c r="AG1179" s="31"/>
    </row>
    <row r="1180" spans="1:33" s="32" customFormat="1" ht="15" customHeight="1">
      <c r="A1180" s="37">
        <v>43721</v>
      </c>
      <c r="B1180" s="20" t="s">
        <v>13</v>
      </c>
      <c r="C1180" s="20" t="s">
        <v>47</v>
      </c>
      <c r="D1180" s="20">
        <v>1080</v>
      </c>
      <c r="E1180" s="38">
        <v>700</v>
      </c>
      <c r="F1180" s="20" t="s">
        <v>8</v>
      </c>
      <c r="G1180" s="43">
        <v>14.5</v>
      </c>
      <c r="H1180" s="43">
        <v>14</v>
      </c>
      <c r="I1180" s="43">
        <v>0</v>
      </c>
      <c r="J1180" s="43">
        <v>0</v>
      </c>
      <c r="K1180" s="1">
        <f t="shared" ref="K1180" si="2182">(IF(F1180="SELL",G1180-H1180,IF(F1180="BUY",H1180-G1180)))*E1180</f>
        <v>-350</v>
      </c>
      <c r="L1180" s="43">
        <v>0</v>
      </c>
      <c r="M1180" s="43">
        <v>0</v>
      </c>
      <c r="N1180" s="1">
        <f t="shared" si="2133"/>
        <v>-0.5</v>
      </c>
      <c r="O1180" s="1">
        <f t="shared" si="2134"/>
        <v>-350</v>
      </c>
      <c r="P1180" s="31"/>
      <c r="Q1180" s="31"/>
      <c r="R1180" s="31"/>
      <c r="S1180" s="31"/>
      <c r="T1180" s="31"/>
      <c r="U1180" s="31"/>
      <c r="V1180" s="31"/>
      <c r="W1180" s="31"/>
      <c r="X1180" s="31"/>
      <c r="Y1180" s="31"/>
      <c r="Z1180" s="31"/>
      <c r="AA1180" s="31"/>
      <c r="AB1180" s="31"/>
      <c r="AC1180" s="31"/>
      <c r="AD1180" s="31"/>
      <c r="AE1180" s="31"/>
      <c r="AF1180" s="31"/>
      <c r="AG1180" s="31"/>
    </row>
    <row r="1181" spans="1:33" s="32" customFormat="1" ht="15" customHeight="1">
      <c r="A1181" s="37">
        <v>43720</v>
      </c>
      <c r="B1181" s="20" t="s">
        <v>179</v>
      </c>
      <c r="C1181" s="20" t="s">
        <v>47</v>
      </c>
      <c r="D1181" s="20">
        <v>100</v>
      </c>
      <c r="E1181" s="38">
        <v>4500</v>
      </c>
      <c r="F1181" s="20" t="s">
        <v>8</v>
      </c>
      <c r="G1181" s="43">
        <v>3.5</v>
      </c>
      <c r="H1181" s="43">
        <v>4.3</v>
      </c>
      <c r="I1181" s="43">
        <v>0</v>
      </c>
      <c r="J1181" s="43">
        <v>0</v>
      </c>
      <c r="K1181" s="1">
        <f t="shared" ref="K1181" si="2183">(IF(F1181="SELL",G1181-H1181,IF(F1181="BUY",H1181-G1181)))*E1181</f>
        <v>3599.9999999999991</v>
      </c>
      <c r="L1181" s="43">
        <v>0</v>
      </c>
      <c r="M1181" s="43">
        <v>0</v>
      </c>
      <c r="N1181" s="1">
        <f t="shared" si="2133"/>
        <v>0.79999999999999982</v>
      </c>
      <c r="O1181" s="1">
        <f t="shared" si="2134"/>
        <v>3599.9999999999991</v>
      </c>
      <c r="P1181" s="31"/>
      <c r="Q1181" s="31"/>
      <c r="R1181" s="31"/>
      <c r="S1181" s="31"/>
      <c r="T1181" s="31"/>
      <c r="U1181" s="31"/>
      <c r="V1181" s="31"/>
      <c r="W1181" s="31"/>
      <c r="X1181" s="31"/>
      <c r="Y1181" s="31"/>
      <c r="Z1181" s="31"/>
      <c r="AA1181" s="31"/>
      <c r="AB1181" s="31"/>
      <c r="AC1181" s="31"/>
      <c r="AD1181" s="31"/>
      <c r="AE1181" s="31"/>
      <c r="AF1181" s="31"/>
      <c r="AG1181" s="31"/>
    </row>
    <row r="1182" spans="1:33" s="32" customFormat="1" ht="15" customHeight="1">
      <c r="A1182" s="37">
        <v>43720</v>
      </c>
      <c r="B1182" s="20" t="s">
        <v>92</v>
      </c>
      <c r="C1182" s="20" t="s">
        <v>47</v>
      </c>
      <c r="D1182" s="20">
        <v>620</v>
      </c>
      <c r="E1182" s="38">
        <v>1250</v>
      </c>
      <c r="F1182" s="20" t="s">
        <v>8</v>
      </c>
      <c r="G1182" s="43">
        <v>17.5</v>
      </c>
      <c r="H1182" s="43">
        <v>18.7</v>
      </c>
      <c r="I1182" s="43">
        <v>0</v>
      </c>
      <c r="J1182" s="43">
        <v>0</v>
      </c>
      <c r="K1182" s="1">
        <f t="shared" ref="K1182" si="2184">(IF(F1182="SELL",G1182-H1182,IF(F1182="BUY",H1182-G1182)))*E1182</f>
        <v>1499.9999999999991</v>
      </c>
      <c r="L1182" s="43">
        <v>0</v>
      </c>
      <c r="M1182" s="43">
        <v>0</v>
      </c>
      <c r="N1182" s="1">
        <f t="shared" si="2133"/>
        <v>1.1999999999999993</v>
      </c>
      <c r="O1182" s="1">
        <f t="shared" si="2134"/>
        <v>1499.9999999999991</v>
      </c>
      <c r="P1182" s="31"/>
      <c r="Q1182" s="31"/>
      <c r="R1182" s="31"/>
      <c r="S1182" s="31"/>
      <c r="T1182" s="31"/>
      <c r="U1182" s="31"/>
      <c r="V1182" s="31"/>
      <c r="W1182" s="31"/>
      <c r="X1182" s="31"/>
      <c r="Y1182" s="31"/>
      <c r="Z1182" s="31"/>
      <c r="AA1182" s="31"/>
      <c r="AB1182" s="31"/>
      <c r="AC1182" s="31"/>
      <c r="AD1182" s="31"/>
      <c r="AE1182" s="31"/>
      <c r="AF1182" s="31"/>
      <c r="AG1182" s="31"/>
    </row>
    <row r="1183" spans="1:33" s="32" customFormat="1" ht="15" customHeight="1">
      <c r="A1183" s="37">
        <v>43719</v>
      </c>
      <c r="B1183" s="20" t="s">
        <v>38</v>
      </c>
      <c r="C1183" s="20" t="s">
        <v>47</v>
      </c>
      <c r="D1183" s="20">
        <v>6600</v>
      </c>
      <c r="E1183" s="38">
        <v>75</v>
      </c>
      <c r="F1183" s="20" t="s">
        <v>8</v>
      </c>
      <c r="G1183" s="43">
        <v>105</v>
      </c>
      <c r="H1183" s="43">
        <v>150</v>
      </c>
      <c r="I1183" s="43">
        <v>171.85</v>
      </c>
      <c r="J1183" s="43">
        <v>0</v>
      </c>
      <c r="K1183" s="1">
        <f t="shared" ref="K1183" si="2185">(IF(F1183="SELL",G1183-H1183,IF(F1183="BUY",H1183-G1183)))*E1183</f>
        <v>3375</v>
      </c>
      <c r="L1183" s="43">
        <f>E1183*21.85</f>
        <v>1638.75</v>
      </c>
      <c r="M1183" s="43">
        <v>0</v>
      </c>
      <c r="N1183" s="1">
        <f t="shared" si="2133"/>
        <v>66.849999999999994</v>
      </c>
      <c r="O1183" s="1">
        <f t="shared" si="2134"/>
        <v>5013.75</v>
      </c>
      <c r="P1183" s="31"/>
      <c r="Q1183" s="31"/>
      <c r="R1183" s="31"/>
      <c r="S1183" s="31"/>
      <c r="T1183" s="31"/>
      <c r="U1183" s="31"/>
      <c r="V1183" s="31"/>
      <c r="W1183" s="31"/>
      <c r="X1183" s="31"/>
      <c r="Y1183" s="31"/>
      <c r="Z1183" s="31"/>
      <c r="AA1183" s="31"/>
      <c r="AB1183" s="31"/>
      <c r="AC1183" s="31"/>
      <c r="AD1183" s="31"/>
      <c r="AE1183" s="31"/>
      <c r="AF1183" s="31"/>
      <c r="AG1183" s="31"/>
    </row>
    <row r="1184" spans="1:33" s="32" customFormat="1" ht="15" customHeight="1">
      <c r="A1184" s="37">
        <v>43719</v>
      </c>
      <c r="B1184" s="20" t="s">
        <v>420</v>
      </c>
      <c r="C1184" s="20" t="s">
        <v>47</v>
      </c>
      <c r="D1184" s="20">
        <v>1560</v>
      </c>
      <c r="E1184" s="38">
        <v>600</v>
      </c>
      <c r="F1184" s="20" t="s">
        <v>8</v>
      </c>
      <c r="G1184" s="43">
        <v>25.5</v>
      </c>
      <c r="H1184" s="43">
        <v>27.85</v>
      </c>
      <c r="I1184" s="43">
        <v>0</v>
      </c>
      <c r="J1184" s="43">
        <v>0</v>
      </c>
      <c r="K1184" s="1">
        <f t="shared" ref="K1184" si="2186">(IF(F1184="SELL",G1184-H1184,IF(F1184="BUY",H1184-G1184)))*E1184</f>
        <v>1410.0000000000009</v>
      </c>
      <c r="L1184" s="43">
        <v>0</v>
      </c>
      <c r="M1184" s="43">
        <v>0</v>
      </c>
      <c r="N1184" s="1">
        <f t="shared" ref="N1184:N1233" si="2187">(L1184+K1184+M1184)/E1184</f>
        <v>2.3500000000000014</v>
      </c>
      <c r="O1184" s="1">
        <f t="shared" ref="O1184:O1247" si="2188">N1184*E1184</f>
        <v>1410.0000000000009</v>
      </c>
      <c r="P1184" s="31"/>
      <c r="Q1184" s="31"/>
      <c r="R1184" s="31"/>
      <c r="S1184" s="31"/>
      <c r="T1184" s="31"/>
      <c r="U1184" s="31"/>
      <c r="V1184" s="31"/>
      <c r="W1184" s="31"/>
      <c r="X1184" s="31"/>
      <c r="Y1184" s="31"/>
      <c r="Z1184" s="31"/>
      <c r="AA1184" s="31"/>
      <c r="AB1184" s="31"/>
      <c r="AC1184" s="31"/>
      <c r="AD1184" s="31"/>
      <c r="AE1184" s="31"/>
      <c r="AF1184" s="31"/>
      <c r="AG1184" s="31"/>
    </row>
    <row r="1185" spans="1:33" s="32" customFormat="1" ht="15" customHeight="1">
      <c r="A1185" s="37">
        <v>43717</v>
      </c>
      <c r="B1185" s="20" t="s">
        <v>190</v>
      </c>
      <c r="C1185" s="20" t="s">
        <v>47</v>
      </c>
      <c r="D1185" s="20">
        <v>2750</v>
      </c>
      <c r="E1185" s="38">
        <v>550</v>
      </c>
      <c r="F1185" s="20" t="s">
        <v>8</v>
      </c>
      <c r="G1185" s="43">
        <v>29.2</v>
      </c>
      <c r="H1185" s="43">
        <v>34.4</v>
      </c>
      <c r="I1185" s="43">
        <v>0</v>
      </c>
      <c r="J1185" s="43">
        <v>0</v>
      </c>
      <c r="K1185" s="1">
        <f t="shared" ref="K1185" si="2189">(IF(F1185="SELL",G1185-H1185,IF(F1185="BUY",H1185-G1185)))*E1185</f>
        <v>2859.9999999999995</v>
      </c>
      <c r="L1185" s="43">
        <v>0</v>
      </c>
      <c r="M1185" s="43">
        <v>0</v>
      </c>
      <c r="N1185" s="1">
        <f t="shared" si="2187"/>
        <v>5.1999999999999993</v>
      </c>
      <c r="O1185" s="1">
        <f t="shared" si="2188"/>
        <v>2859.9999999999995</v>
      </c>
      <c r="P1185" s="31"/>
      <c r="Q1185" s="31"/>
      <c r="R1185" s="31"/>
      <c r="S1185" s="31"/>
      <c r="T1185" s="31"/>
      <c r="U1185" s="31"/>
      <c r="V1185" s="31"/>
      <c r="W1185" s="31"/>
      <c r="X1185" s="31"/>
      <c r="Y1185" s="31"/>
      <c r="Z1185" s="31"/>
      <c r="AA1185" s="31"/>
      <c r="AB1185" s="31"/>
      <c r="AC1185" s="31"/>
      <c r="AD1185" s="31"/>
      <c r="AE1185" s="31"/>
      <c r="AF1185" s="31"/>
      <c r="AG1185" s="31"/>
    </row>
    <row r="1186" spans="1:33" s="32" customFormat="1" ht="15" customHeight="1">
      <c r="A1186" s="37">
        <v>43717</v>
      </c>
      <c r="B1186" s="20" t="s">
        <v>406</v>
      </c>
      <c r="C1186" s="20" t="s">
        <v>47</v>
      </c>
      <c r="D1186" s="20">
        <v>450</v>
      </c>
      <c r="E1186" s="38">
        <v>1250</v>
      </c>
      <c r="F1186" s="20" t="s">
        <v>8</v>
      </c>
      <c r="G1186" s="43">
        <v>8</v>
      </c>
      <c r="H1186" s="43">
        <v>7.2</v>
      </c>
      <c r="I1186" s="43">
        <v>0</v>
      </c>
      <c r="J1186" s="43">
        <v>0</v>
      </c>
      <c r="K1186" s="1">
        <f t="shared" ref="K1186" si="2190">(IF(F1186="SELL",G1186-H1186,IF(F1186="BUY",H1186-G1186)))*E1186</f>
        <v>-999.99999999999977</v>
      </c>
      <c r="L1186" s="43">
        <v>0</v>
      </c>
      <c r="M1186" s="43">
        <v>0</v>
      </c>
      <c r="N1186" s="1">
        <f t="shared" si="2187"/>
        <v>-0.79999999999999982</v>
      </c>
      <c r="O1186" s="1">
        <f t="shared" si="2188"/>
        <v>-999.99999999999977</v>
      </c>
      <c r="P1186" s="31"/>
      <c r="Q1186" s="31"/>
      <c r="R1186" s="31"/>
      <c r="S1186" s="31"/>
      <c r="T1186" s="31"/>
      <c r="U1186" s="31"/>
      <c r="V1186" s="31"/>
      <c r="W1186" s="31"/>
      <c r="X1186" s="31"/>
      <c r="Y1186" s="31"/>
      <c r="Z1186" s="31"/>
      <c r="AA1186" s="31"/>
      <c r="AB1186" s="31"/>
      <c r="AC1186" s="31"/>
      <c r="AD1186" s="31"/>
      <c r="AE1186" s="31"/>
      <c r="AF1186" s="31"/>
      <c r="AG1186" s="31"/>
    </row>
    <row r="1187" spans="1:33" s="32" customFormat="1" ht="15" customHeight="1">
      <c r="A1187" s="37">
        <v>43714</v>
      </c>
      <c r="B1187" s="20" t="s">
        <v>106</v>
      </c>
      <c r="C1187" s="20" t="s">
        <v>47</v>
      </c>
      <c r="D1187" s="20">
        <v>2750</v>
      </c>
      <c r="E1187" s="38">
        <v>250</v>
      </c>
      <c r="F1187" s="20" t="s">
        <v>8</v>
      </c>
      <c r="G1187" s="43">
        <v>54</v>
      </c>
      <c r="H1187" s="43">
        <v>64</v>
      </c>
      <c r="I1187" s="43">
        <v>0</v>
      </c>
      <c r="J1187" s="43">
        <v>0</v>
      </c>
      <c r="K1187" s="1">
        <f t="shared" ref="K1187" si="2191">(IF(F1187="SELL",G1187-H1187,IF(F1187="BUY",H1187-G1187)))*E1187</f>
        <v>2500</v>
      </c>
      <c r="L1187" s="43">
        <v>0</v>
      </c>
      <c r="M1187" s="43">
        <v>0</v>
      </c>
      <c r="N1187" s="1">
        <f t="shared" si="2187"/>
        <v>10</v>
      </c>
      <c r="O1187" s="1">
        <f t="shared" si="2188"/>
        <v>2500</v>
      </c>
      <c r="P1187" s="31"/>
      <c r="Q1187" s="31"/>
      <c r="R1187" s="31"/>
      <c r="S1187" s="31"/>
      <c r="T1187" s="31"/>
      <c r="U1187" s="31"/>
      <c r="V1187" s="31"/>
      <c r="W1187" s="31"/>
      <c r="X1187" s="31"/>
      <c r="Y1187" s="31"/>
      <c r="Z1187" s="31"/>
      <c r="AA1187" s="31"/>
      <c r="AB1187" s="31"/>
      <c r="AC1187" s="31"/>
      <c r="AD1187" s="31"/>
      <c r="AE1187" s="31"/>
      <c r="AF1187" s="31"/>
      <c r="AG1187" s="31"/>
    </row>
    <row r="1188" spans="1:33" s="32" customFormat="1" ht="15" customHeight="1">
      <c r="A1188" s="37">
        <v>43713</v>
      </c>
      <c r="B1188" s="20" t="s">
        <v>58</v>
      </c>
      <c r="C1188" s="20" t="s">
        <v>47</v>
      </c>
      <c r="D1188" s="20">
        <v>630</v>
      </c>
      <c r="E1188" s="38">
        <v>1000</v>
      </c>
      <c r="F1188" s="20" t="s">
        <v>8</v>
      </c>
      <c r="G1188" s="43">
        <v>17</v>
      </c>
      <c r="H1188" s="43">
        <v>19</v>
      </c>
      <c r="I1188" s="43">
        <v>0</v>
      </c>
      <c r="J1188" s="43">
        <v>0</v>
      </c>
      <c r="K1188" s="1">
        <f t="shared" ref="K1188:K1191" si="2192">(IF(F1188="SELL",G1188-H1188,IF(F1188="BUY",H1188-G1188)))*E1188</f>
        <v>2000</v>
      </c>
      <c r="L1188" s="43">
        <v>0</v>
      </c>
      <c r="M1188" s="43">
        <v>0</v>
      </c>
      <c r="N1188" s="1">
        <f t="shared" si="2187"/>
        <v>2</v>
      </c>
      <c r="O1188" s="1">
        <f t="shared" si="2188"/>
        <v>2000</v>
      </c>
      <c r="P1188" s="31"/>
      <c r="Q1188" s="31"/>
      <c r="R1188" s="31"/>
      <c r="S1188" s="31"/>
      <c r="T1188" s="31"/>
      <c r="U1188" s="31"/>
      <c r="V1188" s="31"/>
      <c r="W1188" s="31"/>
      <c r="X1188" s="31"/>
      <c r="Y1188" s="31"/>
      <c r="Z1188" s="31"/>
      <c r="AA1188" s="31"/>
      <c r="AB1188" s="31"/>
      <c r="AC1188" s="31"/>
      <c r="AD1188" s="31"/>
      <c r="AE1188" s="31"/>
      <c r="AF1188" s="31"/>
      <c r="AG1188" s="31"/>
    </row>
    <row r="1189" spans="1:33" s="32" customFormat="1" ht="15" customHeight="1">
      <c r="A1189" s="37">
        <v>43713</v>
      </c>
      <c r="B1189" s="20" t="s">
        <v>454</v>
      </c>
      <c r="C1189" s="20" t="s">
        <v>47</v>
      </c>
      <c r="D1189" s="20">
        <v>770</v>
      </c>
      <c r="E1189" s="38">
        <v>700</v>
      </c>
      <c r="F1189" s="20" t="s">
        <v>8</v>
      </c>
      <c r="G1189" s="43">
        <v>21</v>
      </c>
      <c r="H1189" s="43">
        <v>23.15</v>
      </c>
      <c r="I1189" s="43">
        <v>0</v>
      </c>
      <c r="J1189" s="43">
        <v>0</v>
      </c>
      <c r="K1189" s="1">
        <f t="shared" si="2192"/>
        <v>1504.9999999999991</v>
      </c>
      <c r="L1189" s="43">
        <v>0</v>
      </c>
      <c r="M1189" s="43">
        <v>0</v>
      </c>
      <c r="N1189" s="1">
        <f t="shared" si="2187"/>
        <v>2.1499999999999986</v>
      </c>
      <c r="O1189" s="1">
        <f t="shared" si="2188"/>
        <v>1504.9999999999991</v>
      </c>
      <c r="P1189" s="31"/>
      <c r="Q1189" s="31"/>
      <c r="R1189" s="31"/>
      <c r="S1189" s="31"/>
      <c r="T1189" s="31"/>
      <c r="U1189" s="31"/>
      <c r="V1189" s="31"/>
      <c r="W1189" s="31"/>
      <c r="X1189" s="31"/>
      <c r="Y1189" s="31"/>
      <c r="Z1189" s="31"/>
      <c r="AA1189" s="31"/>
      <c r="AB1189" s="31"/>
      <c r="AC1189" s="31"/>
      <c r="AD1189" s="31"/>
      <c r="AE1189" s="31"/>
      <c r="AF1189" s="31"/>
      <c r="AG1189" s="31"/>
    </row>
    <row r="1190" spans="1:33" s="32" customFormat="1" ht="15" customHeight="1">
      <c r="A1190" s="37">
        <v>43712</v>
      </c>
      <c r="B1190" s="20" t="s">
        <v>453</v>
      </c>
      <c r="C1190" s="20" t="s">
        <v>425</v>
      </c>
      <c r="D1190" s="20">
        <v>440</v>
      </c>
      <c r="E1190" s="38">
        <v>1100</v>
      </c>
      <c r="F1190" s="20" t="s">
        <v>8</v>
      </c>
      <c r="G1190" s="43">
        <v>10.1</v>
      </c>
      <c r="H1190" s="43">
        <v>12.1</v>
      </c>
      <c r="I1190" s="43">
        <v>14.1</v>
      </c>
      <c r="J1190" s="43">
        <v>16.100000000000001</v>
      </c>
      <c r="K1190" s="1">
        <f t="shared" si="2192"/>
        <v>2200</v>
      </c>
      <c r="L1190" s="43">
        <f>E1190*2</f>
        <v>2200</v>
      </c>
      <c r="M1190" s="43">
        <f>E1190*2</f>
        <v>2200</v>
      </c>
      <c r="N1190" s="1">
        <f t="shared" si="2187"/>
        <v>6</v>
      </c>
      <c r="O1190" s="1">
        <f t="shared" si="2188"/>
        <v>6600</v>
      </c>
      <c r="P1190" s="31"/>
      <c r="Q1190" s="31"/>
      <c r="R1190" s="31"/>
      <c r="S1190" s="31"/>
      <c r="T1190" s="31"/>
      <c r="U1190" s="31"/>
      <c r="V1190" s="31"/>
      <c r="W1190" s="31"/>
      <c r="X1190" s="31"/>
      <c r="Y1190" s="31"/>
      <c r="Z1190" s="31"/>
      <c r="AA1190" s="31"/>
      <c r="AB1190" s="31"/>
      <c r="AC1190" s="31"/>
      <c r="AD1190" s="31"/>
      <c r="AE1190" s="31"/>
      <c r="AF1190" s="31"/>
      <c r="AG1190" s="31"/>
    </row>
    <row r="1191" spans="1:33" s="32" customFormat="1" ht="15" customHeight="1">
      <c r="A1191" s="37">
        <v>43712</v>
      </c>
      <c r="B1191" s="20" t="s">
        <v>447</v>
      </c>
      <c r="C1191" s="20" t="s">
        <v>425</v>
      </c>
      <c r="D1191" s="20">
        <v>105</v>
      </c>
      <c r="E1191" s="38">
        <v>3000</v>
      </c>
      <c r="F1191" s="20" t="s">
        <v>8</v>
      </c>
      <c r="G1191" s="43">
        <v>4.2</v>
      </c>
      <c r="H1191" s="43">
        <v>5.2</v>
      </c>
      <c r="I1191" s="43">
        <v>5.85</v>
      </c>
      <c r="J1191" s="43">
        <v>0</v>
      </c>
      <c r="K1191" s="1">
        <f t="shared" si="2192"/>
        <v>3000</v>
      </c>
      <c r="L1191" s="43">
        <f>E1191*0.65</f>
        <v>1950</v>
      </c>
      <c r="M1191" s="43">
        <v>0</v>
      </c>
      <c r="N1191" s="1">
        <f t="shared" si="2187"/>
        <v>1.65</v>
      </c>
      <c r="O1191" s="1">
        <f t="shared" si="2188"/>
        <v>4950</v>
      </c>
      <c r="P1191" s="31"/>
      <c r="Q1191" s="31"/>
      <c r="R1191" s="31"/>
      <c r="S1191" s="31"/>
      <c r="T1191" s="31"/>
      <c r="U1191" s="31"/>
      <c r="V1191" s="31"/>
      <c r="W1191" s="31"/>
      <c r="X1191" s="31"/>
      <c r="Y1191" s="31"/>
      <c r="Z1191" s="31"/>
      <c r="AA1191" s="31"/>
      <c r="AB1191" s="31"/>
      <c r="AC1191" s="31"/>
      <c r="AD1191" s="31"/>
      <c r="AE1191" s="31"/>
      <c r="AF1191" s="31"/>
      <c r="AG1191" s="31"/>
    </row>
    <row r="1192" spans="1:33" s="32" customFormat="1" ht="15" customHeight="1">
      <c r="A1192" s="37">
        <v>43711</v>
      </c>
      <c r="B1192" s="20" t="s">
        <v>332</v>
      </c>
      <c r="C1192" s="20" t="s">
        <v>47</v>
      </c>
      <c r="D1192" s="20">
        <v>750</v>
      </c>
      <c r="E1192" s="38">
        <v>1200</v>
      </c>
      <c r="F1192" s="20" t="s">
        <v>8</v>
      </c>
      <c r="G1192" s="43">
        <v>6.3</v>
      </c>
      <c r="H1192" s="43">
        <v>8</v>
      </c>
      <c r="I1192" s="43">
        <v>0</v>
      </c>
      <c r="J1192" s="43">
        <v>0</v>
      </c>
      <c r="K1192" s="1">
        <f t="shared" ref="K1192" si="2193">(IF(F1192="SELL",G1192-H1192,IF(F1192="BUY",H1192-G1192)))*E1192</f>
        <v>2040.0000000000002</v>
      </c>
      <c r="L1192" s="43">
        <v>0</v>
      </c>
      <c r="M1192" s="43">
        <v>0</v>
      </c>
      <c r="N1192" s="1">
        <f t="shared" si="2187"/>
        <v>1.7000000000000002</v>
      </c>
      <c r="O1192" s="1">
        <f t="shared" si="2188"/>
        <v>2040.0000000000002</v>
      </c>
      <c r="P1192" s="31"/>
      <c r="Q1192" s="31"/>
      <c r="R1192" s="31"/>
      <c r="S1192" s="31"/>
      <c r="T1192" s="31"/>
      <c r="U1192" s="31"/>
      <c r="V1192" s="31"/>
      <c r="W1192" s="31"/>
      <c r="X1192" s="31"/>
      <c r="Y1192" s="31"/>
      <c r="Z1192" s="31"/>
      <c r="AA1192" s="31"/>
      <c r="AB1192" s="31"/>
      <c r="AC1192" s="31"/>
      <c r="AD1192" s="31"/>
      <c r="AE1192" s="31"/>
      <c r="AF1192" s="31"/>
      <c r="AG1192" s="31"/>
    </row>
    <row r="1193" spans="1:33" s="32" customFormat="1" ht="15" customHeight="1">
      <c r="A1193" s="37">
        <v>43711</v>
      </c>
      <c r="B1193" s="20" t="s">
        <v>410</v>
      </c>
      <c r="C1193" s="20" t="s">
        <v>47</v>
      </c>
      <c r="D1193" s="20">
        <v>1800</v>
      </c>
      <c r="E1193" s="38">
        <v>600</v>
      </c>
      <c r="F1193" s="20" t="s">
        <v>8</v>
      </c>
      <c r="G1193" s="43">
        <v>27.5</v>
      </c>
      <c r="H1193" s="43">
        <v>32.5</v>
      </c>
      <c r="I1193" s="43">
        <v>0</v>
      </c>
      <c r="J1193" s="43">
        <v>0</v>
      </c>
      <c r="K1193" s="1">
        <f t="shared" ref="K1193" si="2194">(IF(F1193="SELL",G1193-H1193,IF(F1193="BUY",H1193-G1193)))*E1193</f>
        <v>3000</v>
      </c>
      <c r="L1193" s="43">
        <v>0</v>
      </c>
      <c r="M1193" s="43">
        <v>0</v>
      </c>
      <c r="N1193" s="1">
        <f t="shared" si="2187"/>
        <v>5</v>
      </c>
      <c r="O1193" s="1">
        <f t="shared" si="2188"/>
        <v>3000</v>
      </c>
      <c r="P1193" s="31"/>
      <c r="Q1193" s="31"/>
      <c r="R1193" s="31"/>
      <c r="S1193" s="31"/>
      <c r="T1193" s="31"/>
      <c r="U1193" s="31"/>
      <c r="V1193" s="31"/>
      <c r="W1193" s="31"/>
      <c r="X1193" s="31"/>
      <c r="Y1193" s="31"/>
      <c r="Z1193" s="31"/>
      <c r="AA1193" s="31"/>
      <c r="AB1193" s="31"/>
      <c r="AC1193" s="31"/>
      <c r="AD1193" s="31"/>
      <c r="AE1193" s="31"/>
      <c r="AF1193" s="31"/>
      <c r="AG1193" s="31"/>
    </row>
    <row r="1194" spans="1:33" s="32" customFormat="1" ht="15" customHeight="1">
      <c r="A1194" s="37">
        <v>43707</v>
      </c>
      <c r="B1194" s="20" t="s">
        <v>21</v>
      </c>
      <c r="C1194" s="20" t="s">
        <v>46</v>
      </c>
      <c r="D1194" s="20">
        <v>255</v>
      </c>
      <c r="E1194" s="38">
        <v>3000</v>
      </c>
      <c r="F1194" s="20" t="s">
        <v>8</v>
      </c>
      <c r="G1194" s="43">
        <v>4.9000000000000004</v>
      </c>
      <c r="H1194" s="43">
        <v>5.9</v>
      </c>
      <c r="I1194" s="43">
        <v>0</v>
      </c>
      <c r="J1194" s="43">
        <v>0</v>
      </c>
      <c r="K1194" s="1">
        <f t="shared" ref="K1194" si="2195">(IF(F1194="SELL",G1194-H1194,IF(F1194="BUY",H1194-G1194)))*E1194</f>
        <v>3000</v>
      </c>
      <c r="L1194" s="43">
        <v>0</v>
      </c>
      <c r="M1194" s="43">
        <v>0</v>
      </c>
      <c r="N1194" s="1">
        <f t="shared" si="2187"/>
        <v>1</v>
      </c>
      <c r="O1194" s="1">
        <f t="shared" si="2188"/>
        <v>3000</v>
      </c>
      <c r="P1194" s="31"/>
      <c r="Q1194" s="31"/>
      <c r="R1194" s="31"/>
      <c r="S1194" s="31"/>
      <c r="T1194" s="31"/>
      <c r="U1194" s="31"/>
      <c r="V1194" s="31"/>
      <c r="W1194" s="31"/>
      <c r="X1194" s="31"/>
      <c r="Y1194" s="31"/>
      <c r="Z1194" s="31"/>
      <c r="AA1194" s="31"/>
      <c r="AB1194" s="31"/>
      <c r="AC1194" s="31"/>
      <c r="AD1194" s="31"/>
      <c r="AE1194" s="31"/>
      <c r="AF1194" s="31"/>
      <c r="AG1194" s="31"/>
    </row>
    <row r="1195" spans="1:33" s="32" customFormat="1" ht="15" customHeight="1">
      <c r="A1195" s="37">
        <v>43707</v>
      </c>
      <c r="B1195" s="20" t="s">
        <v>190</v>
      </c>
      <c r="C1195" s="20" t="s">
        <v>47</v>
      </c>
      <c r="D1195" s="20">
        <v>1580</v>
      </c>
      <c r="E1195" s="38">
        <v>550</v>
      </c>
      <c r="F1195" s="20" t="s">
        <v>8</v>
      </c>
      <c r="G1195" s="43">
        <v>23.5</v>
      </c>
      <c r="H1195" s="43">
        <v>25.5</v>
      </c>
      <c r="I1195" s="43">
        <v>9.15</v>
      </c>
      <c r="J1195" s="43">
        <v>0</v>
      </c>
      <c r="K1195" s="1">
        <f t="shared" ref="K1195" si="2196">(IF(F1195="SELL",G1195-H1195,IF(F1195="BUY",H1195-G1195)))*E1195</f>
        <v>1100</v>
      </c>
      <c r="L1195" s="43">
        <v>0</v>
      </c>
      <c r="M1195" s="43">
        <v>0</v>
      </c>
      <c r="N1195" s="1">
        <f t="shared" si="2187"/>
        <v>2</v>
      </c>
      <c r="O1195" s="1">
        <f t="shared" si="2188"/>
        <v>1100</v>
      </c>
      <c r="P1195" s="31"/>
      <c r="Q1195" s="31"/>
      <c r="R1195" s="31"/>
      <c r="S1195" s="31"/>
      <c r="T1195" s="31"/>
      <c r="U1195" s="31"/>
      <c r="V1195" s="31"/>
      <c r="W1195" s="31"/>
      <c r="X1195" s="31"/>
      <c r="Y1195" s="31"/>
      <c r="Z1195" s="31"/>
      <c r="AA1195" s="31"/>
      <c r="AB1195" s="31"/>
      <c r="AC1195" s="31"/>
      <c r="AD1195" s="31"/>
      <c r="AE1195" s="31"/>
      <c r="AF1195" s="31"/>
      <c r="AG1195" s="31"/>
    </row>
    <row r="1196" spans="1:33" s="32" customFormat="1" ht="15" customHeight="1">
      <c r="A1196" s="37">
        <v>43706</v>
      </c>
      <c r="B1196" s="20" t="s">
        <v>20</v>
      </c>
      <c r="C1196" s="20" t="s">
        <v>47</v>
      </c>
      <c r="D1196" s="20">
        <v>800</v>
      </c>
      <c r="E1196" s="38">
        <v>1200</v>
      </c>
      <c r="F1196" s="20" t="s">
        <v>8</v>
      </c>
      <c r="G1196" s="43">
        <v>6.2</v>
      </c>
      <c r="H1196" s="43">
        <v>8.1999999999999993</v>
      </c>
      <c r="I1196" s="43">
        <v>9.15</v>
      </c>
      <c r="J1196" s="43">
        <v>0</v>
      </c>
      <c r="K1196" s="1">
        <f t="shared" ref="K1196" si="2197">(IF(F1196="SELL",G1196-H1196,IF(F1196="BUY",H1196-G1196)))*E1196</f>
        <v>2399.9999999999991</v>
      </c>
      <c r="L1196" s="43">
        <f>E1196*1.95</f>
        <v>2340</v>
      </c>
      <c r="M1196" s="43">
        <v>0</v>
      </c>
      <c r="N1196" s="1">
        <f t="shared" si="2187"/>
        <v>3.9499999999999993</v>
      </c>
      <c r="O1196" s="1">
        <f t="shared" si="2188"/>
        <v>4739.9999999999991</v>
      </c>
      <c r="P1196" s="31"/>
      <c r="Q1196" s="31"/>
      <c r="R1196" s="31"/>
      <c r="S1196" s="31"/>
      <c r="T1196" s="31"/>
      <c r="U1196" s="31"/>
      <c r="V1196" s="31"/>
      <c r="W1196" s="31"/>
      <c r="X1196" s="31"/>
      <c r="Y1196" s="31"/>
      <c r="Z1196" s="31"/>
      <c r="AA1196" s="31"/>
      <c r="AB1196" s="31"/>
      <c r="AC1196" s="31"/>
      <c r="AD1196" s="31"/>
      <c r="AE1196" s="31"/>
      <c r="AF1196" s="31"/>
      <c r="AG1196" s="31"/>
    </row>
    <row r="1197" spans="1:33" s="32" customFormat="1" ht="15" customHeight="1">
      <c r="A1197" s="37">
        <v>43706</v>
      </c>
      <c r="B1197" s="20" t="s">
        <v>414</v>
      </c>
      <c r="C1197" s="20" t="s">
        <v>46</v>
      </c>
      <c r="D1197" s="20">
        <v>65</v>
      </c>
      <c r="E1197" s="38">
        <v>2200</v>
      </c>
      <c r="F1197" s="20" t="s">
        <v>8</v>
      </c>
      <c r="G1197" s="43">
        <v>7.5</v>
      </c>
      <c r="H1197" s="43">
        <v>8.5</v>
      </c>
      <c r="I1197" s="43">
        <v>9.5</v>
      </c>
      <c r="J1197" s="43">
        <v>0</v>
      </c>
      <c r="K1197" s="1">
        <f t="shared" ref="K1197" si="2198">(IF(F1197="SELL",G1197-H1197,IF(F1197="BUY",H1197-G1197)))*E1197</f>
        <v>2200</v>
      </c>
      <c r="L1197" s="43">
        <f>E1197*1</f>
        <v>2200</v>
      </c>
      <c r="M1197" s="43">
        <v>0</v>
      </c>
      <c r="N1197" s="1">
        <f t="shared" si="2187"/>
        <v>2</v>
      </c>
      <c r="O1197" s="1">
        <f t="shared" si="2188"/>
        <v>4400</v>
      </c>
      <c r="P1197" s="31"/>
      <c r="Q1197" s="31"/>
      <c r="R1197" s="31"/>
      <c r="S1197" s="31"/>
      <c r="T1197" s="31"/>
      <c r="U1197" s="31"/>
      <c r="V1197" s="31"/>
      <c r="W1197" s="31"/>
      <c r="X1197" s="31"/>
      <c r="Y1197" s="31"/>
      <c r="Z1197" s="31"/>
      <c r="AA1197" s="31"/>
      <c r="AB1197" s="31"/>
      <c r="AC1197" s="31"/>
      <c r="AD1197" s="31"/>
      <c r="AE1197" s="31"/>
      <c r="AF1197" s="31"/>
      <c r="AG1197" s="31"/>
    </row>
    <row r="1198" spans="1:33" s="32" customFormat="1" ht="15" customHeight="1">
      <c r="A1198" s="37">
        <v>43705</v>
      </c>
      <c r="B1198" s="20" t="s">
        <v>452</v>
      </c>
      <c r="C1198" s="20" t="s">
        <v>46</v>
      </c>
      <c r="D1198" s="20">
        <v>330</v>
      </c>
      <c r="E1198" s="38">
        <v>1200</v>
      </c>
      <c r="F1198" s="20" t="s">
        <v>8</v>
      </c>
      <c r="G1198" s="43">
        <v>3.7</v>
      </c>
      <c r="H1198" s="43">
        <v>5.7</v>
      </c>
      <c r="I1198" s="43">
        <v>7.7</v>
      </c>
      <c r="J1198" s="43">
        <v>9.6999999999999993</v>
      </c>
      <c r="K1198" s="1">
        <f t="shared" ref="K1198" si="2199">(IF(F1198="SELL",G1198-H1198,IF(F1198="BUY",H1198-G1198)))*E1198</f>
        <v>2400</v>
      </c>
      <c r="L1198" s="43">
        <f>E1198*2</f>
        <v>2400</v>
      </c>
      <c r="M1198" s="43">
        <f>E1198*2</f>
        <v>2400</v>
      </c>
      <c r="N1198" s="1">
        <f t="shared" si="2187"/>
        <v>6</v>
      </c>
      <c r="O1198" s="1">
        <f t="shared" si="2188"/>
        <v>7200</v>
      </c>
      <c r="P1198" s="31"/>
      <c r="Q1198" s="31"/>
      <c r="R1198" s="31"/>
      <c r="S1198" s="31"/>
      <c r="T1198" s="31"/>
      <c r="U1198" s="31"/>
      <c r="V1198" s="31"/>
      <c r="W1198" s="31"/>
      <c r="X1198" s="31"/>
      <c r="Y1198" s="31"/>
      <c r="Z1198" s="31"/>
      <c r="AA1198" s="31"/>
      <c r="AB1198" s="31"/>
      <c r="AC1198" s="31"/>
      <c r="AD1198" s="31"/>
      <c r="AE1198" s="31"/>
      <c r="AF1198" s="31"/>
      <c r="AG1198" s="31"/>
    </row>
    <row r="1199" spans="1:33" s="32" customFormat="1" ht="15" customHeight="1">
      <c r="A1199" s="37">
        <v>43704</v>
      </c>
      <c r="B1199" s="20" t="s">
        <v>369</v>
      </c>
      <c r="C1199" s="20" t="s">
        <v>47</v>
      </c>
      <c r="D1199" s="20">
        <v>230</v>
      </c>
      <c r="E1199" s="38">
        <v>2000</v>
      </c>
      <c r="F1199" s="20" t="s">
        <v>8</v>
      </c>
      <c r="G1199" s="43">
        <v>3.5</v>
      </c>
      <c r="H1199" s="43">
        <v>4.5</v>
      </c>
      <c r="I1199" s="43">
        <v>6</v>
      </c>
      <c r="J1199" s="43">
        <v>0</v>
      </c>
      <c r="K1199" s="1">
        <f t="shared" ref="K1199:K1200" si="2200">(IF(F1199="SELL",G1199-H1199,IF(F1199="BUY",H1199-G1199)))*E1199</f>
        <v>2000</v>
      </c>
      <c r="L1199" s="43">
        <f>E1199*1.5</f>
        <v>3000</v>
      </c>
      <c r="M1199" s="43">
        <v>0</v>
      </c>
      <c r="N1199" s="1">
        <f t="shared" si="2187"/>
        <v>2.5</v>
      </c>
      <c r="O1199" s="1">
        <f t="shared" si="2188"/>
        <v>5000</v>
      </c>
      <c r="P1199" s="31"/>
      <c r="Q1199" s="31"/>
      <c r="R1199" s="31"/>
      <c r="S1199" s="31"/>
      <c r="T1199" s="31"/>
      <c r="U1199" s="31"/>
      <c r="V1199" s="31"/>
      <c r="W1199" s="31"/>
      <c r="X1199" s="31"/>
      <c r="Y1199" s="31"/>
      <c r="Z1199" s="31"/>
      <c r="AA1199" s="31"/>
      <c r="AB1199" s="31"/>
      <c r="AC1199" s="31"/>
      <c r="AD1199" s="31"/>
      <c r="AE1199" s="31"/>
      <c r="AF1199" s="31"/>
      <c r="AG1199" s="31"/>
    </row>
    <row r="1200" spans="1:33" s="32" customFormat="1" ht="15" customHeight="1">
      <c r="A1200" s="37">
        <v>43704</v>
      </c>
      <c r="B1200" s="20" t="s">
        <v>72</v>
      </c>
      <c r="C1200" s="20" t="s">
        <v>47</v>
      </c>
      <c r="D1200" s="20">
        <v>330</v>
      </c>
      <c r="E1200" s="38">
        <v>1800</v>
      </c>
      <c r="F1200" s="20" t="s">
        <v>8</v>
      </c>
      <c r="G1200" s="43">
        <v>9.6999999999999993</v>
      </c>
      <c r="H1200" s="43">
        <v>9.85</v>
      </c>
      <c r="I1200" s="43">
        <v>0</v>
      </c>
      <c r="J1200" s="43">
        <v>0</v>
      </c>
      <c r="K1200" s="1">
        <f t="shared" si="2200"/>
        <v>270.00000000000063</v>
      </c>
      <c r="L1200" s="43">
        <v>0</v>
      </c>
      <c r="M1200" s="43">
        <v>0</v>
      </c>
      <c r="N1200" s="1">
        <f t="shared" si="2187"/>
        <v>0.15000000000000036</v>
      </c>
      <c r="O1200" s="1">
        <f t="shared" si="2188"/>
        <v>270.00000000000063</v>
      </c>
      <c r="P1200" s="31"/>
      <c r="Q1200" s="31"/>
      <c r="R1200" s="31"/>
      <c r="S1200" s="31"/>
      <c r="T1200" s="31"/>
      <c r="U1200" s="31"/>
      <c r="V1200" s="31"/>
      <c r="W1200" s="31"/>
      <c r="X1200" s="31"/>
      <c r="Y1200" s="31"/>
      <c r="Z1200" s="31"/>
      <c r="AA1200" s="31"/>
      <c r="AB1200" s="31"/>
      <c r="AC1200" s="31"/>
      <c r="AD1200" s="31"/>
      <c r="AE1200" s="31"/>
      <c r="AF1200" s="31"/>
      <c r="AG1200" s="31"/>
    </row>
    <row r="1201" spans="1:33" s="32" customFormat="1" ht="15" customHeight="1">
      <c r="A1201" s="37">
        <v>43703</v>
      </c>
      <c r="B1201" s="20" t="s">
        <v>208</v>
      </c>
      <c r="C1201" s="20" t="s">
        <v>47</v>
      </c>
      <c r="D1201" s="20">
        <v>1560</v>
      </c>
      <c r="E1201" s="38">
        <v>400</v>
      </c>
      <c r="F1201" s="20" t="s">
        <v>8</v>
      </c>
      <c r="G1201" s="43">
        <v>33</v>
      </c>
      <c r="H1201" s="43">
        <v>40</v>
      </c>
      <c r="I1201" s="43">
        <v>47</v>
      </c>
      <c r="J1201" s="43">
        <v>53.55</v>
      </c>
      <c r="K1201" s="1">
        <f t="shared" ref="K1201:K1202" si="2201">(IF(F1201="SELL",G1201-H1201,IF(F1201="BUY",H1201-G1201)))*E1201</f>
        <v>2800</v>
      </c>
      <c r="L1201" s="43">
        <f>E1201*7</f>
        <v>2800</v>
      </c>
      <c r="M1201" s="43">
        <f>E1201*6.55</f>
        <v>2620</v>
      </c>
      <c r="N1201" s="1">
        <f t="shared" si="2187"/>
        <v>20.55</v>
      </c>
      <c r="O1201" s="1">
        <f t="shared" si="2188"/>
        <v>8220</v>
      </c>
      <c r="P1201" s="31"/>
      <c r="Q1201" s="31"/>
      <c r="R1201" s="31"/>
      <c r="S1201" s="31"/>
      <c r="T1201" s="31"/>
      <c r="U1201" s="31"/>
      <c r="V1201" s="31"/>
      <c r="W1201" s="31"/>
      <c r="X1201" s="31"/>
      <c r="Y1201" s="31"/>
      <c r="Z1201" s="31"/>
      <c r="AA1201" s="31"/>
      <c r="AB1201" s="31"/>
      <c r="AC1201" s="31"/>
      <c r="AD1201" s="31"/>
      <c r="AE1201" s="31"/>
      <c r="AF1201" s="31"/>
      <c r="AG1201" s="31"/>
    </row>
    <row r="1202" spans="1:33" s="32" customFormat="1" ht="15" customHeight="1">
      <c r="A1202" s="37">
        <v>43703</v>
      </c>
      <c r="B1202" s="20" t="s">
        <v>26</v>
      </c>
      <c r="C1202" s="20" t="s">
        <v>46</v>
      </c>
      <c r="D1202" s="20">
        <v>320</v>
      </c>
      <c r="E1202" s="38">
        <v>1061</v>
      </c>
      <c r="F1202" s="20" t="s">
        <v>8</v>
      </c>
      <c r="G1202" s="43">
        <v>3.8</v>
      </c>
      <c r="H1202" s="43">
        <v>5.8</v>
      </c>
      <c r="I1202" s="43">
        <v>0</v>
      </c>
      <c r="J1202" s="43">
        <v>0</v>
      </c>
      <c r="K1202" s="1">
        <f t="shared" si="2201"/>
        <v>2122</v>
      </c>
      <c r="L1202" s="43">
        <v>0</v>
      </c>
      <c r="M1202" s="43">
        <v>0</v>
      </c>
      <c r="N1202" s="1">
        <f t="shared" si="2187"/>
        <v>2</v>
      </c>
      <c r="O1202" s="1">
        <f t="shared" si="2188"/>
        <v>2122</v>
      </c>
      <c r="P1202" s="31"/>
      <c r="Q1202" s="31"/>
      <c r="R1202" s="31"/>
      <c r="S1202" s="31"/>
      <c r="T1202" s="31"/>
      <c r="U1202" s="31"/>
      <c r="V1202" s="31"/>
      <c r="W1202" s="31"/>
      <c r="X1202" s="31"/>
      <c r="Y1202" s="31"/>
      <c r="Z1202" s="31"/>
      <c r="AA1202" s="31"/>
      <c r="AB1202" s="31"/>
      <c r="AC1202" s="31"/>
      <c r="AD1202" s="31"/>
      <c r="AE1202" s="31"/>
      <c r="AF1202" s="31"/>
      <c r="AG1202" s="31"/>
    </row>
    <row r="1203" spans="1:33" s="32" customFormat="1" ht="15" customHeight="1">
      <c r="A1203" s="37">
        <v>43703</v>
      </c>
      <c r="B1203" s="20" t="s">
        <v>449</v>
      </c>
      <c r="C1203" s="20" t="s">
        <v>46</v>
      </c>
      <c r="D1203" s="20">
        <v>195</v>
      </c>
      <c r="E1203" s="38">
        <v>2000</v>
      </c>
      <c r="F1203" s="20" t="s">
        <v>8</v>
      </c>
      <c r="G1203" s="43">
        <v>2</v>
      </c>
      <c r="H1203" s="43">
        <v>1</v>
      </c>
      <c r="I1203" s="43">
        <v>0</v>
      </c>
      <c r="J1203" s="43">
        <v>0</v>
      </c>
      <c r="K1203" s="1">
        <f t="shared" ref="K1203" si="2202">(IF(F1203="SELL",G1203-H1203,IF(F1203="BUY",H1203-G1203)))*E1203</f>
        <v>-2000</v>
      </c>
      <c r="L1203" s="43">
        <v>0</v>
      </c>
      <c r="M1203" s="43">
        <v>0</v>
      </c>
      <c r="N1203" s="1">
        <f t="shared" si="2187"/>
        <v>-1</v>
      </c>
      <c r="O1203" s="1">
        <f t="shared" si="2188"/>
        <v>-2000</v>
      </c>
      <c r="P1203" s="31"/>
      <c r="Q1203" s="31"/>
      <c r="R1203" s="31"/>
      <c r="S1203" s="31"/>
      <c r="T1203" s="31"/>
      <c r="U1203" s="31"/>
      <c r="V1203" s="31"/>
      <c r="W1203" s="31"/>
      <c r="X1203" s="31"/>
      <c r="Y1203" s="31"/>
      <c r="Z1203" s="31"/>
      <c r="AA1203" s="31"/>
      <c r="AB1203" s="31"/>
      <c r="AC1203" s="31"/>
      <c r="AD1203" s="31"/>
      <c r="AE1203" s="31"/>
      <c r="AF1203" s="31"/>
      <c r="AG1203" s="31"/>
    </row>
    <row r="1204" spans="1:33" s="32" customFormat="1" ht="15" customHeight="1">
      <c r="A1204" s="37">
        <v>43700</v>
      </c>
      <c r="B1204" s="20" t="s">
        <v>37</v>
      </c>
      <c r="C1204" s="20" t="s">
        <v>47</v>
      </c>
      <c r="D1204" s="20">
        <v>2260</v>
      </c>
      <c r="E1204" s="38">
        <v>250</v>
      </c>
      <c r="F1204" s="20" t="s">
        <v>8</v>
      </c>
      <c r="G1204" s="43">
        <v>24</v>
      </c>
      <c r="H1204" s="43">
        <v>19.5</v>
      </c>
      <c r="I1204" s="43">
        <v>0</v>
      </c>
      <c r="J1204" s="43">
        <v>0</v>
      </c>
      <c r="K1204" s="1">
        <f t="shared" ref="K1204" si="2203">(IF(F1204="SELL",G1204-H1204,IF(F1204="BUY",H1204-G1204)))*E1204</f>
        <v>-1125</v>
      </c>
      <c r="L1204" s="43">
        <v>0</v>
      </c>
      <c r="M1204" s="43">
        <v>0</v>
      </c>
      <c r="N1204" s="1">
        <f t="shared" si="2187"/>
        <v>-4.5</v>
      </c>
      <c r="O1204" s="1">
        <f t="shared" si="2188"/>
        <v>-1125</v>
      </c>
      <c r="P1204" s="31"/>
      <c r="Q1204" s="31"/>
      <c r="R1204" s="31"/>
      <c r="S1204" s="31"/>
      <c r="T1204" s="31"/>
      <c r="U1204" s="31"/>
      <c r="V1204" s="31"/>
      <c r="W1204" s="31"/>
      <c r="X1204" s="31"/>
      <c r="Y1204" s="31"/>
      <c r="Z1204" s="31"/>
      <c r="AA1204" s="31"/>
      <c r="AB1204" s="31"/>
      <c r="AC1204" s="31"/>
      <c r="AD1204" s="31"/>
      <c r="AE1204" s="31"/>
      <c r="AF1204" s="31"/>
      <c r="AG1204" s="31"/>
    </row>
    <row r="1205" spans="1:33" s="32" customFormat="1" ht="15" customHeight="1">
      <c r="A1205" s="37">
        <v>43700</v>
      </c>
      <c r="B1205" s="20" t="s">
        <v>190</v>
      </c>
      <c r="C1205" s="20" t="s">
        <v>47</v>
      </c>
      <c r="D1205" s="20">
        <v>1500</v>
      </c>
      <c r="E1205" s="38">
        <v>550</v>
      </c>
      <c r="F1205" s="20" t="s">
        <v>8</v>
      </c>
      <c r="G1205" s="43">
        <v>10.5</v>
      </c>
      <c r="H1205" s="43">
        <v>13</v>
      </c>
      <c r="I1205" s="43">
        <v>0</v>
      </c>
      <c r="J1205" s="43">
        <v>0</v>
      </c>
      <c r="K1205" s="1">
        <f t="shared" ref="K1205" si="2204">(IF(F1205="SELL",G1205-H1205,IF(F1205="BUY",H1205-G1205)))*E1205</f>
        <v>1375</v>
      </c>
      <c r="L1205" s="43">
        <v>0</v>
      </c>
      <c r="M1205" s="43">
        <v>0</v>
      </c>
      <c r="N1205" s="1">
        <f t="shared" si="2187"/>
        <v>2.5</v>
      </c>
      <c r="O1205" s="1">
        <f t="shared" si="2188"/>
        <v>1375</v>
      </c>
      <c r="P1205" s="31"/>
      <c r="Q1205" s="31"/>
      <c r="R1205" s="31"/>
      <c r="S1205" s="31"/>
      <c r="T1205" s="31"/>
      <c r="U1205" s="31"/>
      <c r="V1205" s="31"/>
      <c r="W1205" s="31"/>
      <c r="X1205" s="31"/>
      <c r="Y1205" s="31"/>
      <c r="Z1205" s="31"/>
      <c r="AA1205" s="31"/>
      <c r="AB1205" s="31"/>
      <c r="AC1205" s="31"/>
      <c r="AD1205" s="31"/>
      <c r="AE1205" s="31"/>
      <c r="AF1205" s="31"/>
      <c r="AG1205" s="31"/>
    </row>
    <row r="1206" spans="1:33" s="32" customFormat="1" ht="15" customHeight="1">
      <c r="A1206" s="37">
        <v>43699</v>
      </c>
      <c r="B1206" s="20" t="s">
        <v>89</v>
      </c>
      <c r="C1206" s="20" t="s">
        <v>46</v>
      </c>
      <c r="D1206" s="20">
        <v>440</v>
      </c>
      <c r="E1206" s="38">
        <v>1100</v>
      </c>
      <c r="F1206" s="20" t="s">
        <v>8</v>
      </c>
      <c r="G1206" s="43">
        <v>11.9</v>
      </c>
      <c r="H1206" s="43">
        <v>13.9</v>
      </c>
      <c r="I1206" s="43">
        <v>15.9</v>
      </c>
      <c r="J1206" s="43">
        <v>17.5</v>
      </c>
      <c r="K1206" s="1">
        <f t="shared" ref="K1206" si="2205">(IF(F1206="SELL",G1206-H1206,IF(F1206="BUY",H1206-G1206)))*E1206</f>
        <v>2200</v>
      </c>
      <c r="L1206" s="43">
        <f>E1206*2</f>
        <v>2200</v>
      </c>
      <c r="M1206" s="43">
        <f>E1206*1.6</f>
        <v>1760</v>
      </c>
      <c r="N1206" s="1">
        <f t="shared" si="2187"/>
        <v>5.6</v>
      </c>
      <c r="O1206" s="1">
        <f t="shared" si="2188"/>
        <v>6160</v>
      </c>
      <c r="P1206" s="31"/>
      <c r="Q1206" s="31"/>
      <c r="R1206" s="31"/>
      <c r="S1206" s="31"/>
      <c r="T1206" s="31"/>
      <c r="U1206" s="31"/>
      <c r="V1206" s="31"/>
      <c r="W1206" s="31"/>
      <c r="X1206" s="31"/>
      <c r="Y1206" s="31"/>
      <c r="Z1206" s="31"/>
      <c r="AA1206" s="31"/>
      <c r="AB1206" s="31"/>
      <c r="AC1206" s="31"/>
      <c r="AD1206" s="31"/>
      <c r="AE1206" s="31"/>
      <c r="AF1206" s="31"/>
      <c r="AG1206" s="31"/>
    </row>
    <row r="1207" spans="1:33" s="32" customFormat="1" ht="15" customHeight="1">
      <c r="A1207" s="37">
        <v>43699</v>
      </c>
      <c r="B1207" s="20" t="s">
        <v>289</v>
      </c>
      <c r="C1207" s="20" t="s">
        <v>46</v>
      </c>
      <c r="D1207" s="20">
        <v>390</v>
      </c>
      <c r="E1207" s="38">
        <v>1200</v>
      </c>
      <c r="F1207" s="20" t="s">
        <v>8</v>
      </c>
      <c r="G1207" s="43">
        <v>12</v>
      </c>
      <c r="H1207" s="43">
        <v>14</v>
      </c>
      <c r="I1207" s="43">
        <v>0</v>
      </c>
      <c r="J1207" s="43">
        <v>0</v>
      </c>
      <c r="K1207" s="1">
        <f t="shared" ref="K1207" si="2206">(IF(F1207="SELL",G1207-H1207,IF(F1207="BUY",H1207-G1207)))*E1207</f>
        <v>2400</v>
      </c>
      <c r="L1207" s="43">
        <v>0</v>
      </c>
      <c r="M1207" s="43">
        <v>0</v>
      </c>
      <c r="N1207" s="1">
        <f t="shared" si="2187"/>
        <v>2</v>
      </c>
      <c r="O1207" s="1">
        <f t="shared" si="2188"/>
        <v>2400</v>
      </c>
      <c r="P1207" s="31"/>
      <c r="Q1207" s="31"/>
      <c r="R1207" s="31"/>
      <c r="S1207" s="31"/>
      <c r="T1207" s="31"/>
      <c r="U1207" s="31"/>
      <c r="V1207" s="31"/>
      <c r="W1207" s="31"/>
      <c r="X1207" s="31"/>
      <c r="Y1207" s="31"/>
      <c r="Z1207" s="31"/>
      <c r="AA1207" s="31"/>
      <c r="AB1207" s="31"/>
      <c r="AC1207" s="31"/>
      <c r="AD1207" s="31"/>
      <c r="AE1207" s="31"/>
      <c r="AF1207" s="31"/>
      <c r="AG1207" s="31"/>
    </row>
    <row r="1208" spans="1:33" s="32" customFormat="1" ht="15" customHeight="1">
      <c r="A1208" s="37">
        <v>43698</v>
      </c>
      <c r="B1208" s="20" t="s">
        <v>27</v>
      </c>
      <c r="C1208" s="20" t="s">
        <v>46</v>
      </c>
      <c r="D1208" s="20">
        <v>195</v>
      </c>
      <c r="E1208" s="38">
        <v>2200</v>
      </c>
      <c r="F1208" s="20" t="s">
        <v>8</v>
      </c>
      <c r="G1208" s="43">
        <v>5</v>
      </c>
      <c r="H1208" s="43">
        <v>6</v>
      </c>
      <c r="I1208" s="43">
        <v>7</v>
      </c>
      <c r="J1208" s="43">
        <v>7.5</v>
      </c>
      <c r="K1208" s="1">
        <f t="shared" ref="K1208" si="2207">(IF(F1208="SELL",G1208-H1208,IF(F1208="BUY",H1208-G1208)))*E1208</f>
        <v>2200</v>
      </c>
      <c r="L1208" s="43">
        <f>E1208*1</f>
        <v>2200</v>
      </c>
      <c r="M1208" s="43">
        <f>E1208*0.5</f>
        <v>1100</v>
      </c>
      <c r="N1208" s="1">
        <f t="shared" si="2187"/>
        <v>2.5</v>
      </c>
      <c r="O1208" s="1">
        <f t="shared" si="2188"/>
        <v>5500</v>
      </c>
      <c r="P1208" s="31"/>
      <c r="Q1208" s="31"/>
      <c r="R1208" s="31"/>
      <c r="S1208" s="31"/>
      <c r="T1208" s="31"/>
      <c r="U1208" s="31"/>
      <c r="V1208" s="31"/>
      <c r="W1208" s="31"/>
      <c r="X1208" s="31"/>
      <c r="Y1208" s="31"/>
      <c r="Z1208" s="31"/>
      <c r="AA1208" s="31"/>
      <c r="AB1208" s="31"/>
      <c r="AC1208" s="31"/>
      <c r="AD1208" s="31"/>
      <c r="AE1208" s="31"/>
      <c r="AF1208" s="31"/>
      <c r="AG1208" s="31"/>
    </row>
    <row r="1209" spans="1:33" s="32" customFormat="1" ht="15" customHeight="1">
      <c r="A1209" s="37">
        <v>43698</v>
      </c>
      <c r="B1209" s="20" t="s">
        <v>411</v>
      </c>
      <c r="C1209" s="20" t="s">
        <v>46</v>
      </c>
      <c r="D1209" s="20">
        <v>70</v>
      </c>
      <c r="E1209" s="38">
        <v>2200</v>
      </c>
      <c r="F1209" s="20" t="s">
        <v>8</v>
      </c>
      <c r="G1209" s="43">
        <v>5.8</v>
      </c>
      <c r="H1209" s="43">
        <v>6.8</v>
      </c>
      <c r="I1209" s="43">
        <v>7.8</v>
      </c>
      <c r="J1209" s="43">
        <v>0</v>
      </c>
      <c r="K1209" s="1">
        <f t="shared" ref="K1209" si="2208">(IF(F1209="SELL",G1209-H1209,IF(F1209="BUY",H1209-G1209)))*E1209</f>
        <v>2200</v>
      </c>
      <c r="L1209" s="43">
        <f>E1209*1</f>
        <v>2200</v>
      </c>
      <c r="M1209" s="43">
        <v>0</v>
      </c>
      <c r="N1209" s="1">
        <f t="shared" si="2187"/>
        <v>2</v>
      </c>
      <c r="O1209" s="1">
        <f t="shared" si="2188"/>
        <v>4400</v>
      </c>
      <c r="P1209" s="31"/>
      <c r="Q1209" s="31"/>
      <c r="R1209" s="31"/>
      <c r="S1209" s="31"/>
      <c r="T1209" s="31"/>
      <c r="U1209" s="31"/>
      <c r="V1209" s="31"/>
      <c r="W1209" s="31"/>
      <c r="X1209" s="31"/>
      <c r="Y1209" s="31"/>
      <c r="Z1209" s="31"/>
      <c r="AA1209" s="31"/>
      <c r="AB1209" s="31"/>
      <c r="AC1209" s="31"/>
      <c r="AD1209" s="31"/>
      <c r="AE1209" s="31"/>
      <c r="AF1209" s="31"/>
      <c r="AG1209" s="31"/>
    </row>
    <row r="1210" spans="1:33" s="32" customFormat="1" ht="15" customHeight="1">
      <c r="A1210" s="37">
        <v>43697</v>
      </c>
      <c r="B1210" s="20" t="s">
        <v>411</v>
      </c>
      <c r="C1210" s="20" t="s">
        <v>46</v>
      </c>
      <c r="D1210" s="20">
        <v>70</v>
      </c>
      <c r="E1210" s="38">
        <v>2200</v>
      </c>
      <c r="F1210" s="20" t="s">
        <v>8</v>
      </c>
      <c r="G1210" s="43">
        <v>4.2</v>
      </c>
      <c r="H1210" s="43">
        <v>5.05</v>
      </c>
      <c r="I1210" s="43">
        <v>0</v>
      </c>
      <c r="J1210" s="43">
        <v>0</v>
      </c>
      <c r="K1210" s="1">
        <f t="shared" ref="K1210:K1214" si="2209">(IF(F1210="SELL",G1210-H1210,IF(F1210="BUY",H1210-G1210)))*E1210</f>
        <v>1869.9999999999993</v>
      </c>
      <c r="L1210" s="43">
        <v>0</v>
      </c>
      <c r="M1210" s="43">
        <v>0</v>
      </c>
      <c r="N1210" s="1">
        <f t="shared" si="2187"/>
        <v>0.84999999999999964</v>
      </c>
      <c r="O1210" s="1">
        <f t="shared" si="2188"/>
        <v>1869.9999999999993</v>
      </c>
      <c r="P1210" s="31"/>
      <c r="Q1210" s="31"/>
      <c r="R1210" s="31"/>
      <c r="S1210" s="31"/>
      <c r="T1210" s="31"/>
      <c r="U1210" s="31"/>
      <c r="V1210" s="31"/>
      <c r="W1210" s="31"/>
      <c r="X1210" s="31"/>
      <c r="Y1210" s="31"/>
      <c r="Z1210" s="31"/>
      <c r="AA1210" s="31"/>
      <c r="AB1210" s="31"/>
      <c r="AC1210" s="31"/>
      <c r="AD1210" s="31"/>
      <c r="AE1210" s="31"/>
      <c r="AF1210" s="31"/>
      <c r="AG1210" s="31"/>
    </row>
    <row r="1211" spans="1:33" s="32" customFormat="1" ht="15" customHeight="1">
      <c r="A1211" s="37">
        <v>43697</v>
      </c>
      <c r="B1211" s="20" t="s">
        <v>189</v>
      </c>
      <c r="C1211" s="20" t="s">
        <v>46</v>
      </c>
      <c r="D1211" s="20">
        <v>45</v>
      </c>
      <c r="E1211" s="38">
        <v>3000</v>
      </c>
      <c r="F1211" s="20" t="s">
        <v>8</v>
      </c>
      <c r="G1211" s="43">
        <v>5</v>
      </c>
      <c r="H1211" s="43">
        <v>6</v>
      </c>
      <c r="I1211" s="43">
        <v>7</v>
      </c>
      <c r="J1211" s="43">
        <v>0</v>
      </c>
      <c r="K1211" s="1">
        <f t="shared" si="2209"/>
        <v>3000</v>
      </c>
      <c r="L1211" s="43">
        <f>E1211*1</f>
        <v>3000</v>
      </c>
      <c r="M1211" s="43">
        <v>0</v>
      </c>
      <c r="N1211" s="1">
        <f t="shared" si="2187"/>
        <v>2</v>
      </c>
      <c r="O1211" s="1">
        <f t="shared" si="2188"/>
        <v>6000</v>
      </c>
      <c r="P1211" s="31"/>
      <c r="Q1211" s="31"/>
      <c r="R1211" s="31"/>
      <c r="S1211" s="31"/>
      <c r="T1211" s="31"/>
      <c r="U1211" s="31"/>
      <c r="V1211" s="31"/>
      <c r="W1211" s="31"/>
      <c r="X1211" s="31"/>
      <c r="Y1211" s="31"/>
      <c r="Z1211" s="31"/>
      <c r="AA1211" s="31"/>
      <c r="AB1211" s="31"/>
      <c r="AC1211" s="31"/>
      <c r="AD1211" s="31"/>
      <c r="AE1211" s="31"/>
      <c r="AF1211" s="31"/>
      <c r="AG1211" s="31"/>
    </row>
    <row r="1212" spans="1:33" s="32" customFormat="1" ht="15" customHeight="1">
      <c r="A1212" s="37">
        <v>43696</v>
      </c>
      <c r="B1212" s="20" t="s">
        <v>399</v>
      </c>
      <c r="C1212" s="20" t="s">
        <v>47</v>
      </c>
      <c r="D1212" s="20">
        <v>270</v>
      </c>
      <c r="E1212" s="38">
        <v>2700</v>
      </c>
      <c r="F1212" s="20" t="s">
        <v>8</v>
      </c>
      <c r="G1212" s="43">
        <v>5.5</v>
      </c>
      <c r="H1212" s="43">
        <v>5.9</v>
      </c>
      <c r="I1212" s="43">
        <v>0</v>
      </c>
      <c r="J1212" s="43">
        <v>0</v>
      </c>
      <c r="K1212" s="1">
        <f t="shared" si="2209"/>
        <v>1080.0000000000009</v>
      </c>
      <c r="L1212" s="43">
        <v>0</v>
      </c>
      <c r="M1212" s="43">
        <v>0</v>
      </c>
      <c r="N1212" s="1">
        <f t="shared" si="2187"/>
        <v>0.40000000000000036</v>
      </c>
      <c r="O1212" s="1">
        <f t="shared" si="2188"/>
        <v>1080.0000000000009</v>
      </c>
      <c r="P1212" s="31"/>
      <c r="Q1212" s="31"/>
      <c r="R1212" s="31"/>
      <c r="S1212" s="31"/>
      <c r="T1212" s="31"/>
      <c r="U1212" s="31"/>
      <c r="V1212" s="31"/>
      <c r="W1212" s="31"/>
      <c r="X1212" s="31"/>
      <c r="Y1212" s="31"/>
      <c r="Z1212" s="31"/>
      <c r="AA1212" s="31"/>
      <c r="AB1212" s="31"/>
      <c r="AC1212" s="31"/>
      <c r="AD1212" s="31"/>
      <c r="AE1212" s="31"/>
      <c r="AF1212" s="31"/>
      <c r="AG1212" s="31"/>
    </row>
    <row r="1213" spans="1:33" s="32" customFormat="1" ht="15" customHeight="1">
      <c r="A1213" s="37">
        <v>43696</v>
      </c>
      <c r="B1213" s="20" t="s">
        <v>107</v>
      </c>
      <c r="C1213" s="20" t="s">
        <v>47</v>
      </c>
      <c r="D1213" s="20">
        <v>420</v>
      </c>
      <c r="E1213" s="38">
        <v>1100</v>
      </c>
      <c r="F1213" s="20" t="s">
        <v>8</v>
      </c>
      <c r="G1213" s="43">
        <v>14</v>
      </c>
      <c r="H1213" s="43">
        <v>17.75</v>
      </c>
      <c r="I1213" s="43">
        <v>0</v>
      </c>
      <c r="J1213" s="43">
        <v>0</v>
      </c>
      <c r="K1213" s="1">
        <f t="shared" si="2209"/>
        <v>4125</v>
      </c>
      <c r="L1213" s="43">
        <v>0</v>
      </c>
      <c r="M1213" s="43">
        <v>0</v>
      </c>
      <c r="N1213" s="1">
        <f t="shared" si="2187"/>
        <v>3.75</v>
      </c>
      <c r="O1213" s="1">
        <f t="shared" si="2188"/>
        <v>4125</v>
      </c>
      <c r="P1213" s="31"/>
      <c r="Q1213" s="31"/>
      <c r="R1213" s="31"/>
      <c r="S1213" s="31"/>
      <c r="T1213" s="31"/>
      <c r="U1213" s="31"/>
      <c r="V1213" s="31"/>
      <c r="W1213" s="31"/>
      <c r="X1213" s="31"/>
      <c r="Y1213" s="31"/>
      <c r="Z1213" s="31"/>
      <c r="AA1213" s="31"/>
      <c r="AB1213" s="31"/>
      <c r="AC1213" s="31"/>
      <c r="AD1213" s="31"/>
      <c r="AE1213" s="31"/>
      <c r="AF1213" s="31"/>
      <c r="AG1213" s="31"/>
    </row>
    <row r="1214" spans="1:33" s="32" customFormat="1" ht="15" customHeight="1">
      <c r="A1214" s="37">
        <v>43696</v>
      </c>
      <c r="B1214" s="20" t="s">
        <v>446</v>
      </c>
      <c r="C1214" s="20" t="s">
        <v>47</v>
      </c>
      <c r="D1214" s="20">
        <v>1800</v>
      </c>
      <c r="E1214" s="38">
        <v>300</v>
      </c>
      <c r="F1214" s="20" t="s">
        <v>8</v>
      </c>
      <c r="G1214" s="43">
        <v>52</v>
      </c>
      <c r="H1214" s="43">
        <v>40</v>
      </c>
      <c r="I1214" s="43">
        <v>0</v>
      </c>
      <c r="J1214" s="43">
        <v>0</v>
      </c>
      <c r="K1214" s="1">
        <f t="shared" si="2209"/>
        <v>-3600</v>
      </c>
      <c r="L1214" s="43">
        <v>0</v>
      </c>
      <c r="M1214" s="43">
        <v>0</v>
      </c>
      <c r="N1214" s="1">
        <f t="shared" si="2187"/>
        <v>-12</v>
      </c>
      <c r="O1214" s="1">
        <f t="shared" si="2188"/>
        <v>-3600</v>
      </c>
      <c r="P1214" s="31"/>
      <c r="Q1214" s="31"/>
      <c r="R1214" s="31"/>
      <c r="S1214" s="31"/>
      <c r="T1214" s="31"/>
      <c r="U1214" s="31"/>
      <c r="V1214" s="31"/>
      <c r="W1214" s="31"/>
      <c r="X1214" s="31"/>
      <c r="Y1214" s="31"/>
      <c r="Z1214" s="31"/>
      <c r="AA1214" s="31"/>
      <c r="AB1214" s="31"/>
      <c r="AC1214" s="31"/>
      <c r="AD1214" s="31"/>
      <c r="AE1214" s="31"/>
      <c r="AF1214" s="31"/>
      <c r="AG1214" s="31"/>
    </row>
    <row r="1215" spans="1:33" s="32" customFormat="1" ht="15" customHeight="1">
      <c r="A1215" s="37">
        <v>43693</v>
      </c>
      <c r="B1215" s="20" t="s">
        <v>448</v>
      </c>
      <c r="C1215" s="20" t="s">
        <v>47</v>
      </c>
      <c r="D1215" s="20">
        <v>1380</v>
      </c>
      <c r="E1215" s="38">
        <v>500</v>
      </c>
      <c r="F1215" s="20" t="s">
        <v>8</v>
      </c>
      <c r="G1215" s="43">
        <v>16.5</v>
      </c>
      <c r="H1215" s="43">
        <v>19.95</v>
      </c>
      <c r="I1215" s="43">
        <v>0</v>
      </c>
      <c r="J1215" s="43">
        <v>0</v>
      </c>
      <c r="K1215" s="1">
        <f t="shared" ref="K1215:K1216" si="2210">(IF(F1215="SELL",G1215-H1215,IF(F1215="BUY",H1215-G1215)))*E1215</f>
        <v>1724.9999999999995</v>
      </c>
      <c r="L1215" s="43">
        <v>0</v>
      </c>
      <c r="M1215" s="43">
        <v>0</v>
      </c>
      <c r="N1215" s="1">
        <f t="shared" si="2187"/>
        <v>3.4499999999999993</v>
      </c>
      <c r="O1215" s="1">
        <f t="shared" si="2188"/>
        <v>1724.9999999999995</v>
      </c>
      <c r="P1215" s="31"/>
      <c r="Q1215" s="31"/>
      <c r="R1215" s="31"/>
      <c r="S1215" s="31"/>
      <c r="T1215" s="31"/>
      <c r="U1215" s="31"/>
      <c r="V1215" s="31"/>
      <c r="W1215" s="31"/>
      <c r="X1215" s="31"/>
      <c r="Y1215" s="31"/>
      <c r="Z1215" s="31"/>
      <c r="AA1215" s="31"/>
      <c r="AB1215" s="31"/>
      <c r="AC1215" s="31"/>
      <c r="AD1215" s="31"/>
      <c r="AE1215" s="31"/>
      <c r="AF1215" s="31"/>
      <c r="AG1215" s="31"/>
    </row>
    <row r="1216" spans="1:33" s="32" customFormat="1" ht="15" customHeight="1">
      <c r="A1216" s="37">
        <v>43693</v>
      </c>
      <c r="B1216" s="20" t="s">
        <v>357</v>
      </c>
      <c r="C1216" s="20" t="s">
        <v>46</v>
      </c>
      <c r="D1216" s="20">
        <v>680</v>
      </c>
      <c r="E1216" s="38">
        <v>600</v>
      </c>
      <c r="F1216" s="20" t="s">
        <v>8</v>
      </c>
      <c r="G1216" s="43">
        <v>20</v>
      </c>
      <c r="H1216" s="43">
        <v>15</v>
      </c>
      <c r="I1216" s="43">
        <v>0</v>
      </c>
      <c r="J1216" s="43">
        <v>0</v>
      </c>
      <c r="K1216" s="1">
        <f t="shared" si="2210"/>
        <v>-3000</v>
      </c>
      <c r="L1216" s="43">
        <v>0</v>
      </c>
      <c r="M1216" s="43">
        <v>0</v>
      </c>
      <c r="N1216" s="1">
        <f t="shared" si="2187"/>
        <v>-5</v>
      </c>
      <c r="O1216" s="1">
        <f t="shared" si="2188"/>
        <v>-3000</v>
      </c>
      <c r="P1216" s="31"/>
      <c r="Q1216" s="31"/>
      <c r="R1216" s="31"/>
      <c r="S1216" s="31"/>
      <c r="T1216" s="31"/>
      <c r="U1216" s="31"/>
      <c r="V1216" s="31"/>
      <c r="W1216" s="31"/>
      <c r="X1216" s="31"/>
      <c r="Y1216" s="31"/>
      <c r="Z1216" s="31"/>
      <c r="AA1216" s="31"/>
      <c r="AB1216" s="31"/>
      <c r="AC1216" s="31"/>
      <c r="AD1216" s="31"/>
      <c r="AE1216" s="31"/>
      <c r="AF1216" s="31"/>
      <c r="AG1216" s="31"/>
    </row>
    <row r="1217" spans="1:33" s="32" customFormat="1" ht="15" customHeight="1">
      <c r="A1217" s="37">
        <v>43691</v>
      </c>
      <c r="B1217" s="20" t="s">
        <v>447</v>
      </c>
      <c r="C1217" s="20" t="s">
        <v>46</v>
      </c>
      <c r="D1217" s="20">
        <v>120</v>
      </c>
      <c r="E1217" s="38">
        <v>3000</v>
      </c>
      <c r="F1217" s="20" t="s">
        <v>8</v>
      </c>
      <c r="G1217" s="43">
        <v>5</v>
      </c>
      <c r="H1217" s="43">
        <v>5.75</v>
      </c>
      <c r="I1217" s="43">
        <v>0</v>
      </c>
      <c r="J1217" s="43">
        <v>0</v>
      </c>
      <c r="K1217" s="1">
        <f t="shared" ref="K1217" si="2211">(IF(F1217="SELL",G1217-H1217,IF(F1217="BUY",H1217-G1217)))*E1217</f>
        <v>2250</v>
      </c>
      <c r="L1217" s="43">
        <v>0</v>
      </c>
      <c r="M1217" s="43">
        <v>0</v>
      </c>
      <c r="N1217" s="1">
        <f t="shared" si="2187"/>
        <v>0.75</v>
      </c>
      <c r="O1217" s="1">
        <f t="shared" si="2188"/>
        <v>2250</v>
      </c>
      <c r="P1217" s="31"/>
      <c r="Q1217" s="31"/>
      <c r="R1217" s="31"/>
      <c r="S1217" s="31"/>
      <c r="T1217" s="31"/>
      <c r="U1217" s="31"/>
      <c r="V1217" s="31"/>
      <c r="W1217" s="31"/>
      <c r="X1217" s="31"/>
      <c r="Y1217" s="31"/>
      <c r="Z1217" s="31"/>
      <c r="AA1217" s="31"/>
      <c r="AB1217" s="31"/>
      <c r="AC1217" s="31"/>
      <c r="AD1217" s="31"/>
      <c r="AE1217" s="31"/>
      <c r="AF1217" s="31"/>
      <c r="AG1217" s="31"/>
    </row>
    <row r="1218" spans="1:33" s="32" customFormat="1" ht="15" customHeight="1">
      <c r="A1218" s="37">
        <v>43691</v>
      </c>
      <c r="B1218" s="20" t="s">
        <v>266</v>
      </c>
      <c r="C1218" s="20" t="s">
        <v>425</v>
      </c>
      <c r="D1218" s="20">
        <v>580</v>
      </c>
      <c r="E1218" s="38">
        <v>600</v>
      </c>
      <c r="F1218" s="20" t="s">
        <v>8</v>
      </c>
      <c r="G1218" s="43">
        <v>13</v>
      </c>
      <c r="H1218" s="43">
        <v>15.5</v>
      </c>
      <c r="I1218" s="43">
        <v>0</v>
      </c>
      <c r="J1218" s="43">
        <v>0</v>
      </c>
      <c r="K1218" s="1">
        <f t="shared" ref="K1218" si="2212">(IF(F1218="SELL",G1218-H1218,IF(F1218="BUY",H1218-G1218)))*E1218</f>
        <v>1500</v>
      </c>
      <c r="L1218" s="43">
        <v>0</v>
      </c>
      <c r="M1218" s="43">
        <v>0</v>
      </c>
      <c r="N1218" s="1">
        <f t="shared" si="2187"/>
        <v>2.5</v>
      </c>
      <c r="O1218" s="1">
        <f t="shared" si="2188"/>
        <v>1500</v>
      </c>
      <c r="P1218" s="31"/>
      <c r="Q1218" s="31"/>
      <c r="R1218" s="31"/>
      <c r="S1218" s="31"/>
      <c r="T1218" s="31"/>
      <c r="U1218" s="31"/>
      <c r="V1218" s="31"/>
      <c r="W1218" s="31"/>
      <c r="X1218" s="31"/>
      <c r="Y1218" s="31"/>
      <c r="Z1218" s="31"/>
      <c r="AA1218" s="31"/>
      <c r="AB1218" s="31"/>
      <c r="AC1218" s="31"/>
      <c r="AD1218" s="31"/>
      <c r="AE1218" s="31"/>
      <c r="AF1218" s="31"/>
      <c r="AG1218" s="31"/>
    </row>
    <row r="1219" spans="1:33" s="32" customFormat="1" ht="15" customHeight="1">
      <c r="A1219" s="37">
        <v>43690</v>
      </c>
      <c r="B1219" s="20" t="s">
        <v>402</v>
      </c>
      <c r="C1219" s="20" t="s">
        <v>47</v>
      </c>
      <c r="D1219" s="20">
        <v>1340</v>
      </c>
      <c r="E1219" s="38">
        <v>500</v>
      </c>
      <c r="F1219" s="20" t="s">
        <v>8</v>
      </c>
      <c r="G1219" s="43">
        <v>10</v>
      </c>
      <c r="H1219" s="43">
        <v>14.5</v>
      </c>
      <c r="I1219" s="43">
        <v>19</v>
      </c>
      <c r="J1219" s="43">
        <v>0</v>
      </c>
      <c r="K1219" s="1">
        <f t="shared" ref="K1219:K1220" si="2213">(IF(F1219="SELL",G1219-H1219,IF(F1219="BUY",H1219-G1219)))*E1219</f>
        <v>2250</v>
      </c>
      <c r="L1219" s="43">
        <f>E1219*4.5</f>
        <v>2250</v>
      </c>
      <c r="M1219" s="43">
        <v>0</v>
      </c>
      <c r="N1219" s="1">
        <f t="shared" si="2187"/>
        <v>9</v>
      </c>
      <c r="O1219" s="1">
        <f t="shared" si="2188"/>
        <v>4500</v>
      </c>
      <c r="P1219" s="31"/>
      <c r="Q1219" s="31"/>
      <c r="R1219" s="31"/>
      <c r="S1219" s="31"/>
      <c r="T1219" s="31"/>
      <c r="U1219" s="31"/>
      <c r="V1219" s="31"/>
      <c r="W1219" s="31"/>
      <c r="X1219" s="31"/>
      <c r="Y1219" s="31"/>
      <c r="Z1219" s="31"/>
      <c r="AA1219" s="31"/>
      <c r="AB1219" s="31"/>
      <c r="AC1219" s="31"/>
      <c r="AD1219" s="31"/>
      <c r="AE1219" s="31"/>
      <c r="AF1219" s="31"/>
      <c r="AG1219" s="31"/>
    </row>
    <row r="1220" spans="1:33" s="32" customFormat="1" ht="15" customHeight="1">
      <c r="A1220" s="37">
        <v>43690</v>
      </c>
      <c r="B1220" s="20" t="s">
        <v>430</v>
      </c>
      <c r="C1220" s="20" t="s">
        <v>46</v>
      </c>
      <c r="D1220" s="20">
        <v>530</v>
      </c>
      <c r="E1220" s="38">
        <v>1000</v>
      </c>
      <c r="F1220" s="20" t="s">
        <v>8</v>
      </c>
      <c r="G1220" s="43">
        <v>14</v>
      </c>
      <c r="H1220" s="43">
        <v>16.5</v>
      </c>
      <c r="I1220" s="43">
        <v>19</v>
      </c>
      <c r="J1220" s="43">
        <v>22.5</v>
      </c>
      <c r="K1220" s="1">
        <f t="shared" si="2213"/>
        <v>2500</v>
      </c>
      <c r="L1220" s="43">
        <f>E1220*2.5</f>
        <v>2500</v>
      </c>
      <c r="M1220" s="43">
        <f>E1220*3.5</f>
        <v>3500</v>
      </c>
      <c r="N1220" s="1">
        <f t="shared" si="2187"/>
        <v>8.5</v>
      </c>
      <c r="O1220" s="1">
        <f t="shared" si="2188"/>
        <v>8500</v>
      </c>
      <c r="P1220" s="31"/>
      <c r="Q1220" s="31"/>
      <c r="R1220" s="31"/>
      <c r="S1220" s="31"/>
      <c r="T1220" s="31"/>
      <c r="U1220" s="31"/>
      <c r="V1220" s="31"/>
      <c r="W1220" s="31"/>
      <c r="X1220" s="31"/>
      <c r="Y1220" s="31"/>
      <c r="Z1220" s="31"/>
      <c r="AA1220" s="31"/>
      <c r="AB1220" s="31"/>
      <c r="AC1220" s="31"/>
      <c r="AD1220" s="31"/>
      <c r="AE1220" s="31"/>
      <c r="AF1220" s="31"/>
      <c r="AG1220" s="31"/>
    </row>
    <row r="1221" spans="1:33" s="32" customFormat="1" ht="15" customHeight="1">
      <c r="A1221" s="37">
        <v>43686</v>
      </c>
      <c r="B1221" s="20" t="s">
        <v>420</v>
      </c>
      <c r="C1221" s="20" t="s">
        <v>47</v>
      </c>
      <c r="D1221" s="20">
        <v>1580</v>
      </c>
      <c r="E1221" s="38">
        <v>600</v>
      </c>
      <c r="F1221" s="20" t="s">
        <v>8</v>
      </c>
      <c r="G1221" s="43">
        <v>32</v>
      </c>
      <c r="H1221" s="43">
        <v>34.75</v>
      </c>
      <c r="I1221" s="43">
        <v>0</v>
      </c>
      <c r="J1221" s="43">
        <v>0</v>
      </c>
      <c r="K1221" s="1">
        <f t="shared" ref="K1221:K1222" si="2214">(IF(F1221="SELL",G1221-H1221,IF(F1221="BUY",H1221-G1221)))*E1221</f>
        <v>1650</v>
      </c>
      <c r="L1221" s="43">
        <v>0</v>
      </c>
      <c r="M1221" s="43">
        <v>0</v>
      </c>
      <c r="N1221" s="1">
        <f t="shared" si="2187"/>
        <v>2.75</v>
      </c>
      <c r="O1221" s="1">
        <f t="shared" si="2188"/>
        <v>1650</v>
      </c>
      <c r="P1221" s="31"/>
      <c r="Q1221" s="31"/>
      <c r="R1221" s="31"/>
      <c r="S1221" s="31"/>
      <c r="T1221" s="31"/>
      <c r="U1221" s="31"/>
      <c r="V1221" s="31"/>
      <c r="W1221" s="31"/>
      <c r="X1221" s="31"/>
      <c r="Y1221" s="31"/>
      <c r="Z1221" s="31"/>
      <c r="AA1221" s="31"/>
      <c r="AB1221" s="31"/>
      <c r="AC1221" s="31"/>
      <c r="AD1221" s="31"/>
      <c r="AE1221" s="31"/>
      <c r="AF1221" s="31"/>
      <c r="AG1221" s="31"/>
    </row>
    <row r="1222" spans="1:33" s="32" customFormat="1" ht="15" customHeight="1">
      <c r="A1222" s="37">
        <v>43686</v>
      </c>
      <c r="B1222" s="20" t="s">
        <v>30</v>
      </c>
      <c r="C1222" s="20" t="s">
        <v>47</v>
      </c>
      <c r="D1222" s="20">
        <v>400</v>
      </c>
      <c r="E1222" s="38">
        <v>1375</v>
      </c>
      <c r="F1222" s="20" t="s">
        <v>8</v>
      </c>
      <c r="G1222" s="43">
        <v>22.5</v>
      </c>
      <c r="H1222" s="43">
        <v>24.5</v>
      </c>
      <c r="I1222" s="43">
        <v>0</v>
      </c>
      <c r="J1222" s="43">
        <v>0</v>
      </c>
      <c r="K1222" s="1">
        <f t="shared" si="2214"/>
        <v>2750</v>
      </c>
      <c r="L1222" s="43">
        <v>0</v>
      </c>
      <c r="M1222" s="43">
        <v>0</v>
      </c>
      <c r="N1222" s="1">
        <f t="shared" si="2187"/>
        <v>2</v>
      </c>
      <c r="O1222" s="1">
        <f t="shared" si="2188"/>
        <v>2750</v>
      </c>
      <c r="P1222" s="31"/>
      <c r="Q1222" s="31"/>
      <c r="R1222" s="31"/>
      <c r="S1222" s="31"/>
      <c r="T1222" s="31"/>
      <c r="U1222" s="31"/>
      <c r="V1222" s="31"/>
      <c r="W1222" s="31"/>
      <c r="X1222" s="31"/>
      <c r="Y1222" s="31"/>
      <c r="Z1222" s="31"/>
      <c r="AA1222" s="31"/>
      <c r="AB1222" s="31"/>
      <c r="AC1222" s="31"/>
      <c r="AD1222" s="31"/>
      <c r="AE1222" s="31"/>
      <c r="AF1222" s="31"/>
      <c r="AG1222" s="31"/>
    </row>
    <row r="1223" spans="1:33" s="32" customFormat="1" ht="15" customHeight="1">
      <c r="A1223" s="37">
        <v>43686</v>
      </c>
      <c r="B1223" s="20" t="s">
        <v>20</v>
      </c>
      <c r="C1223" s="20" t="s">
        <v>47</v>
      </c>
      <c r="D1223" s="20">
        <v>780</v>
      </c>
      <c r="E1223" s="38">
        <v>1200</v>
      </c>
      <c r="F1223" s="20" t="s">
        <v>8</v>
      </c>
      <c r="G1223" s="43">
        <v>21.5</v>
      </c>
      <c r="H1223" s="43">
        <v>0</v>
      </c>
      <c r="I1223" s="43">
        <v>0</v>
      </c>
      <c r="J1223" s="43">
        <v>0</v>
      </c>
      <c r="K1223" s="1">
        <v>0</v>
      </c>
      <c r="L1223" s="43">
        <v>0</v>
      </c>
      <c r="M1223" s="43">
        <v>0</v>
      </c>
      <c r="N1223" s="1">
        <f t="shared" si="2187"/>
        <v>0</v>
      </c>
      <c r="O1223" s="1">
        <f t="shared" si="2188"/>
        <v>0</v>
      </c>
      <c r="P1223" s="31"/>
      <c r="Q1223" s="31"/>
      <c r="R1223" s="31"/>
      <c r="S1223" s="31"/>
      <c r="T1223" s="31"/>
      <c r="U1223" s="31"/>
      <c r="V1223" s="31"/>
      <c r="W1223" s="31"/>
      <c r="X1223" s="31"/>
      <c r="Y1223" s="31"/>
      <c r="Z1223" s="31"/>
      <c r="AA1223" s="31"/>
      <c r="AB1223" s="31"/>
      <c r="AC1223" s="31"/>
      <c r="AD1223" s="31"/>
      <c r="AE1223" s="31"/>
      <c r="AF1223" s="31"/>
      <c r="AG1223" s="31"/>
    </row>
    <row r="1224" spans="1:33" s="32" customFormat="1" ht="15" customHeight="1">
      <c r="A1224" s="37">
        <v>43685</v>
      </c>
      <c r="B1224" s="20" t="s">
        <v>446</v>
      </c>
      <c r="C1224" s="20" t="s">
        <v>47</v>
      </c>
      <c r="D1224" s="20">
        <v>1740</v>
      </c>
      <c r="E1224" s="38">
        <v>300</v>
      </c>
      <c r="F1224" s="20" t="s">
        <v>8</v>
      </c>
      <c r="G1224" s="43">
        <v>68</v>
      </c>
      <c r="H1224" s="43">
        <v>78</v>
      </c>
      <c r="I1224" s="43">
        <v>0</v>
      </c>
      <c r="J1224" s="43">
        <v>0</v>
      </c>
      <c r="K1224" s="1">
        <f t="shared" ref="K1224:K1226" si="2215">(IF(F1224="SELL",G1224-H1224,IF(F1224="BUY",H1224-G1224)))*E1224</f>
        <v>3000</v>
      </c>
      <c r="L1224" s="43">
        <v>0</v>
      </c>
      <c r="M1224" s="43">
        <v>0</v>
      </c>
      <c r="N1224" s="1">
        <f t="shared" si="2187"/>
        <v>10</v>
      </c>
      <c r="O1224" s="1">
        <f t="shared" si="2188"/>
        <v>3000</v>
      </c>
      <c r="P1224" s="31"/>
      <c r="Q1224" s="31"/>
      <c r="R1224" s="31"/>
      <c r="S1224" s="31"/>
      <c r="T1224" s="31"/>
      <c r="U1224" s="31"/>
      <c r="V1224" s="31"/>
      <c r="W1224" s="31"/>
      <c r="X1224" s="31"/>
      <c r="Y1224" s="31"/>
      <c r="Z1224" s="31"/>
      <c r="AA1224" s="31"/>
      <c r="AB1224" s="31"/>
      <c r="AC1224" s="31"/>
      <c r="AD1224" s="31"/>
      <c r="AE1224" s="31"/>
      <c r="AF1224" s="31"/>
      <c r="AG1224" s="31"/>
    </row>
    <row r="1225" spans="1:33" s="32" customFormat="1" ht="15" customHeight="1">
      <c r="A1225" s="37">
        <v>43685</v>
      </c>
      <c r="B1225" s="20" t="s">
        <v>15</v>
      </c>
      <c r="C1225" s="20" t="s">
        <v>46</v>
      </c>
      <c r="D1225" s="20">
        <v>360</v>
      </c>
      <c r="E1225" s="38">
        <v>1100</v>
      </c>
      <c r="F1225" s="20" t="s">
        <v>8</v>
      </c>
      <c r="G1225" s="43">
        <v>13</v>
      </c>
      <c r="H1225" s="43">
        <v>14.75</v>
      </c>
      <c r="I1225" s="43">
        <v>0</v>
      </c>
      <c r="J1225" s="43">
        <v>0</v>
      </c>
      <c r="K1225" s="1">
        <f t="shared" si="2215"/>
        <v>1925</v>
      </c>
      <c r="L1225" s="43">
        <v>0</v>
      </c>
      <c r="M1225" s="43">
        <v>0</v>
      </c>
      <c r="N1225" s="1">
        <f t="shared" si="2187"/>
        <v>1.75</v>
      </c>
      <c r="O1225" s="1">
        <f t="shared" si="2188"/>
        <v>1925</v>
      </c>
      <c r="P1225" s="31"/>
      <c r="Q1225" s="31"/>
      <c r="R1225" s="31"/>
      <c r="S1225" s="31"/>
      <c r="T1225" s="31"/>
      <c r="U1225" s="31"/>
      <c r="V1225" s="31"/>
      <c r="W1225" s="31"/>
      <c r="X1225" s="31"/>
      <c r="Y1225" s="31"/>
      <c r="Z1225" s="31"/>
      <c r="AA1225" s="31"/>
      <c r="AB1225" s="31"/>
      <c r="AC1225" s="31"/>
      <c r="AD1225" s="31"/>
      <c r="AE1225" s="31"/>
      <c r="AF1225" s="31"/>
      <c r="AG1225" s="31"/>
    </row>
    <row r="1226" spans="1:33" s="32" customFormat="1" ht="15" customHeight="1">
      <c r="A1226" s="37">
        <v>43685</v>
      </c>
      <c r="B1226" s="20" t="s">
        <v>77</v>
      </c>
      <c r="C1226" s="20" t="s">
        <v>46</v>
      </c>
      <c r="D1226" s="20">
        <v>120</v>
      </c>
      <c r="E1226" s="38">
        <v>3000</v>
      </c>
      <c r="F1226" s="20" t="s">
        <v>8</v>
      </c>
      <c r="G1226" s="43">
        <v>4.0999999999999996</v>
      </c>
      <c r="H1226" s="43">
        <v>4.0999999999999996</v>
      </c>
      <c r="I1226" s="43">
        <v>0</v>
      </c>
      <c r="J1226" s="43">
        <v>0</v>
      </c>
      <c r="K1226" s="1">
        <f t="shared" si="2215"/>
        <v>0</v>
      </c>
      <c r="L1226" s="43">
        <v>0</v>
      </c>
      <c r="M1226" s="43">
        <v>0</v>
      </c>
      <c r="N1226" s="1">
        <f t="shared" si="2187"/>
        <v>0</v>
      </c>
      <c r="O1226" s="1">
        <f t="shared" si="2188"/>
        <v>0</v>
      </c>
      <c r="P1226" s="31"/>
      <c r="Q1226" s="31"/>
      <c r="R1226" s="31"/>
      <c r="S1226" s="31"/>
      <c r="T1226" s="31"/>
      <c r="U1226" s="31"/>
      <c r="V1226" s="31"/>
      <c r="W1226" s="31"/>
      <c r="X1226" s="31"/>
      <c r="Y1226" s="31"/>
      <c r="Z1226" s="31"/>
      <c r="AA1226" s="31"/>
      <c r="AB1226" s="31"/>
      <c r="AC1226" s="31"/>
      <c r="AD1226" s="31"/>
      <c r="AE1226" s="31"/>
      <c r="AF1226" s="31"/>
      <c r="AG1226" s="31"/>
    </row>
    <row r="1227" spans="1:33" s="32" customFormat="1" ht="15" customHeight="1">
      <c r="A1227" s="37">
        <v>43684</v>
      </c>
      <c r="B1227" s="20" t="s">
        <v>24</v>
      </c>
      <c r="C1227" s="20" t="s">
        <v>46</v>
      </c>
      <c r="D1227" s="20">
        <v>120</v>
      </c>
      <c r="E1227" s="38">
        <v>3000</v>
      </c>
      <c r="F1227" s="20" t="s">
        <v>8</v>
      </c>
      <c r="G1227" s="43">
        <v>5.7</v>
      </c>
      <c r="H1227" s="43">
        <v>6.7</v>
      </c>
      <c r="I1227" s="43">
        <v>7.7</v>
      </c>
      <c r="J1227" s="43">
        <v>0</v>
      </c>
      <c r="K1227" s="1">
        <f t="shared" ref="K1227:K1228" si="2216">(IF(F1227="SELL",G1227-H1227,IF(F1227="BUY",H1227-G1227)))*E1227</f>
        <v>3000</v>
      </c>
      <c r="L1227" s="43">
        <f>E1227*1</f>
        <v>3000</v>
      </c>
      <c r="M1227" s="43">
        <v>0</v>
      </c>
      <c r="N1227" s="1">
        <f t="shared" si="2187"/>
        <v>2</v>
      </c>
      <c r="O1227" s="1">
        <f t="shared" si="2188"/>
        <v>6000</v>
      </c>
      <c r="P1227" s="31"/>
      <c r="Q1227" s="31"/>
      <c r="R1227" s="31"/>
      <c r="S1227" s="31"/>
      <c r="T1227" s="31"/>
      <c r="U1227" s="31"/>
      <c r="V1227" s="31"/>
      <c r="W1227" s="31"/>
      <c r="X1227" s="31"/>
      <c r="Y1227" s="31"/>
      <c r="Z1227" s="31"/>
      <c r="AA1227" s="31"/>
      <c r="AB1227" s="31"/>
      <c r="AC1227" s="31"/>
      <c r="AD1227" s="31"/>
      <c r="AE1227" s="31"/>
      <c r="AF1227" s="31"/>
      <c r="AG1227" s="31"/>
    </row>
    <row r="1228" spans="1:33" s="32" customFormat="1" ht="15" customHeight="1">
      <c r="A1228" s="37">
        <v>43684</v>
      </c>
      <c r="B1228" s="20" t="s">
        <v>430</v>
      </c>
      <c r="C1228" s="20" t="s">
        <v>46</v>
      </c>
      <c r="D1228" s="20">
        <v>540</v>
      </c>
      <c r="E1228" s="38">
        <v>1000</v>
      </c>
      <c r="F1228" s="20" t="s">
        <v>8</v>
      </c>
      <c r="G1228" s="43">
        <v>16.399999999999999</v>
      </c>
      <c r="H1228" s="43">
        <v>19.8</v>
      </c>
      <c r="I1228" s="43">
        <v>22.8</v>
      </c>
      <c r="J1228" s="43">
        <v>25.8</v>
      </c>
      <c r="K1228" s="1">
        <f t="shared" si="2216"/>
        <v>3400.0000000000023</v>
      </c>
      <c r="L1228" s="43">
        <f>E1228*3</f>
        <v>3000</v>
      </c>
      <c r="M1228" s="43">
        <f>E1228*3</f>
        <v>3000</v>
      </c>
      <c r="N1228" s="1">
        <f t="shared" si="2187"/>
        <v>9.4000000000000021</v>
      </c>
      <c r="O1228" s="1">
        <f t="shared" si="2188"/>
        <v>9400.0000000000018</v>
      </c>
      <c r="P1228" s="31"/>
      <c r="Q1228" s="31"/>
      <c r="R1228" s="31"/>
      <c r="S1228" s="31"/>
      <c r="T1228" s="31"/>
      <c r="U1228" s="31"/>
      <c r="V1228" s="31"/>
      <c r="W1228" s="31"/>
      <c r="X1228" s="31"/>
      <c r="Y1228" s="31"/>
      <c r="Z1228" s="31"/>
      <c r="AA1228" s="31"/>
      <c r="AB1228" s="31"/>
      <c r="AC1228" s="31"/>
      <c r="AD1228" s="31"/>
      <c r="AE1228" s="31"/>
      <c r="AF1228" s="31"/>
      <c r="AG1228" s="31"/>
    </row>
    <row r="1229" spans="1:33" s="32" customFormat="1" ht="15" customHeight="1">
      <c r="A1229" s="37">
        <v>43684</v>
      </c>
      <c r="B1229" s="20" t="s">
        <v>445</v>
      </c>
      <c r="C1229" s="20" t="s">
        <v>47</v>
      </c>
      <c r="D1229" s="20">
        <v>275</v>
      </c>
      <c r="E1229" s="38">
        <v>2700</v>
      </c>
      <c r="F1229" s="20" t="s">
        <v>8</v>
      </c>
      <c r="G1229" s="43">
        <v>7.7</v>
      </c>
      <c r="H1229" s="43">
        <v>6.3</v>
      </c>
      <c r="I1229" s="43">
        <v>0</v>
      </c>
      <c r="J1229" s="43">
        <v>0</v>
      </c>
      <c r="K1229" s="1">
        <f t="shared" ref="K1229" si="2217">(IF(F1229="SELL",G1229-H1229,IF(F1229="BUY",H1229-G1229)))*E1229</f>
        <v>-3780.0000000000009</v>
      </c>
      <c r="L1229" s="43">
        <v>0</v>
      </c>
      <c r="M1229" s="43">
        <v>0</v>
      </c>
      <c r="N1229" s="1">
        <f t="shared" si="2187"/>
        <v>-1.4000000000000004</v>
      </c>
      <c r="O1229" s="1">
        <f t="shared" si="2188"/>
        <v>-3780.0000000000009</v>
      </c>
      <c r="P1229" s="31"/>
      <c r="Q1229" s="31"/>
      <c r="R1229" s="31"/>
      <c r="S1229" s="31"/>
      <c r="T1229" s="31"/>
      <c r="U1229" s="31"/>
      <c r="V1229" s="31"/>
      <c r="W1229" s="31"/>
      <c r="X1229" s="31"/>
      <c r="Y1229" s="31"/>
      <c r="Z1229" s="31"/>
      <c r="AA1229" s="31"/>
      <c r="AB1229" s="31"/>
      <c r="AC1229" s="31"/>
      <c r="AD1229" s="31"/>
      <c r="AE1229" s="31"/>
      <c r="AF1229" s="31"/>
      <c r="AG1229" s="31"/>
    </row>
    <row r="1230" spans="1:33" s="32" customFormat="1" ht="15" customHeight="1">
      <c r="A1230" s="37">
        <v>43683</v>
      </c>
      <c r="B1230" s="20" t="s">
        <v>122</v>
      </c>
      <c r="C1230" s="20" t="s">
        <v>47</v>
      </c>
      <c r="D1230" s="20">
        <v>2220</v>
      </c>
      <c r="E1230" s="38">
        <v>500</v>
      </c>
      <c r="F1230" s="20" t="s">
        <v>8</v>
      </c>
      <c r="G1230" s="43">
        <v>28.5</v>
      </c>
      <c r="H1230" s="43">
        <v>43.5</v>
      </c>
      <c r="I1230" s="43">
        <v>0</v>
      </c>
      <c r="J1230" s="43">
        <v>0</v>
      </c>
      <c r="K1230" s="1">
        <f t="shared" ref="K1230" si="2218">(IF(F1230="SELL",G1230-H1230,IF(F1230="BUY",H1230-G1230)))*E1230</f>
        <v>7500</v>
      </c>
      <c r="L1230" s="43">
        <v>0</v>
      </c>
      <c r="M1230" s="43">
        <v>0</v>
      </c>
      <c r="N1230" s="1">
        <f t="shared" si="2187"/>
        <v>15</v>
      </c>
      <c r="O1230" s="1">
        <f t="shared" si="2188"/>
        <v>7500</v>
      </c>
      <c r="P1230" s="31"/>
      <c r="Q1230" s="31"/>
      <c r="R1230" s="31"/>
      <c r="S1230" s="31"/>
      <c r="T1230" s="31"/>
      <c r="U1230" s="31"/>
      <c r="V1230" s="31"/>
      <c r="W1230" s="31"/>
      <c r="X1230" s="31"/>
      <c r="Y1230" s="31"/>
      <c r="Z1230" s="31"/>
      <c r="AA1230" s="31"/>
      <c r="AB1230" s="31"/>
      <c r="AC1230" s="31"/>
      <c r="AD1230" s="31"/>
      <c r="AE1230" s="31"/>
      <c r="AF1230" s="31"/>
      <c r="AG1230" s="31"/>
    </row>
    <row r="1231" spans="1:33" s="32" customFormat="1" ht="15" customHeight="1">
      <c r="A1231" s="37">
        <v>43683</v>
      </c>
      <c r="B1231" s="20" t="s">
        <v>30</v>
      </c>
      <c r="C1231" s="20" t="s">
        <v>47</v>
      </c>
      <c r="D1231" s="20">
        <v>415</v>
      </c>
      <c r="E1231" s="38">
        <v>1375</v>
      </c>
      <c r="F1231" s="20" t="s">
        <v>8</v>
      </c>
      <c r="G1231" s="43">
        <v>9</v>
      </c>
      <c r="H1231" s="43">
        <v>9.8000000000000007</v>
      </c>
      <c r="I1231" s="43">
        <v>0</v>
      </c>
      <c r="J1231" s="43">
        <v>0</v>
      </c>
      <c r="K1231" s="1">
        <f t="shared" ref="K1231" si="2219">(IF(F1231="SELL",G1231-H1231,IF(F1231="BUY",H1231-G1231)))*E1231</f>
        <v>1100.0000000000009</v>
      </c>
      <c r="L1231" s="43">
        <v>0</v>
      </c>
      <c r="M1231" s="43">
        <v>0</v>
      </c>
      <c r="N1231" s="1">
        <f t="shared" si="2187"/>
        <v>0.80000000000000071</v>
      </c>
      <c r="O1231" s="1">
        <f t="shared" si="2188"/>
        <v>1100.0000000000009</v>
      </c>
      <c r="P1231" s="31"/>
      <c r="Q1231" s="31"/>
      <c r="R1231" s="31"/>
      <c r="S1231" s="31"/>
      <c r="T1231" s="31"/>
      <c r="U1231" s="31"/>
      <c r="V1231" s="31"/>
      <c r="W1231" s="31"/>
      <c r="X1231" s="31"/>
      <c r="Y1231" s="31"/>
      <c r="Z1231" s="31"/>
      <c r="AA1231" s="31"/>
      <c r="AB1231" s="31"/>
      <c r="AC1231" s="31"/>
      <c r="AD1231" s="31"/>
      <c r="AE1231" s="31"/>
      <c r="AF1231" s="31"/>
      <c r="AG1231" s="31"/>
    </row>
    <row r="1232" spans="1:33" s="32" customFormat="1" ht="15" customHeight="1">
      <c r="A1232" s="37">
        <v>43682</v>
      </c>
      <c r="B1232" s="20" t="s">
        <v>77</v>
      </c>
      <c r="C1232" s="20" t="s">
        <v>46</v>
      </c>
      <c r="D1232" s="20">
        <v>120</v>
      </c>
      <c r="E1232" s="38">
        <v>5334</v>
      </c>
      <c r="F1232" s="20" t="s">
        <v>8</v>
      </c>
      <c r="G1232" s="43">
        <v>3</v>
      </c>
      <c r="H1232" s="43">
        <v>3.4</v>
      </c>
      <c r="I1232" s="43">
        <v>0</v>
      </c>
      <c r="J1232" s="43">
        <v>0</v>
      </c>
      <c r="K1232" s="1">
        <f t="shared" ref="K1232:K1233" si="2220">(IF(F1232="SELL",G1232-H1232,IF(F1232="BUY",H1232-G1232)))*E1232</f>
        <v>2133.5999999999995</v>
      </c>
      <c r="L1232" s="43">
        <v>0</v>
      </c>
      <c r="M1232" s="43">
        <v>0</v>
      </c>
      <c r="N1232" s="1">
        <f t="shared" si="2187"/>
        <v>0.39999999999999991</v>
      </c>
      <c r="O1232" s="1">
        <f t="shared" si="2188"/>
        <v>2133.5999999999995</v>
      </c>
      <c r="P1232" s="31"/>
      <c r="Q1232" s="31"/>
      <c r="R1232" s="31"/>
      <c r="S1232" s="31"/>
      <c r="T1232" s="31"/>
      <c r="U1232" s="31"/>
      <c r="V1232" s="31"/>
      <c r="W1232" s="31"/>
      <c r="X1232" s="31"/>
      <c r="Y1232" s="31"/>
      <c r="Z1232" s="31"/>
      <c r="AA1232" s="31"/>
      <c r="AB1232" s="31"/>
      <c r="AC1232" s="31"/>
      <c r="AD1232" s="31"/>
      <c r="AE1232" s="31"/>
      <c r="AF1232" s="31"/>
      <c r="AG1232" s="31"/>
    </row>
    <row r="1233" spans="1:33" s="32" customFormat="1" ht="15" customHeight="1">
      <c r="A1233" s="37">
        <v>43682</v>
      </c>
      <c r="B1233" s="20" t="s">
        <v>399</v>
      </c>
      <c r="C1233" s="20" t="s">
        <v>47</v>
      </c>
      <c r="D1233" s="20">
        <v>275</v>
      </c>
      <c r="E1233" s="38">
        <v>2700</v>
      </c>
      <c r="F1233" s="20" t="s">
        <v>8</v>
      </c>
      <c r="G1233" s="43">
        <v>4.8</v>
      </c>
      <c r="H1233" s="43">
        <v>5.6</v>
      </c>
      <c r="I1233" s="43">
        <v>0</v>
      </c>
      <c r="J1233" s="43">
        <v>0</v>
      </c>
      <c r="K1233" s="1">
        <f t="shared" si="2220"/>
        <v>2159.9999999999995</v>
      </c>
      <c r="L1233" s="43">
        <v>0</v>
      </c>
      <c r="M1233" s="43">
        <v>0</v>
      </c>
      <c r="N1233" s="1">
        <f t="shared" si="2187"/>
        <v>0.79999999999999982</v>
      </c>
      <c r="O1233" s="1">
        <f t="shared" si="2188"/>
        <v>2159.9999999999995</v>
      </c>
      <c r="P1233" s="31"/>
      <c r="Q1233" s="31"/>
      <c r="R1233" s="31"/>
      <c r="S1233" s="31"/>
      <c r="T1233" s="31"/>
      <c r="U1233" s="31"/>
      <c r="V1233" s="31"/>
      <c r="W1233" s="31"/>
      <c r="X1233" s="31"/>
      <c r="Y1233" s="31"/>
      <c r="Z1233" s="31"/>
      <c r="AA1233" s="31"/>
      <c r="AB1233" s="31"/>
      <c r="AC1233" s="31"/>
      <c r="AD1233" s="31"/>
      <c r="AE1233" s="31"/>
      <c r="AF1233" s="31"/>
      <c r="AG1233" s="31"/>
    </row>
    <row r="1234" spans="1:33" s="32" customFormat="1" ht="15" customHeight="1">
      <c r="A1234" s="37">
        <v>43682</v>
      </c>
      <c r="B1234" s="20" t="s">
        <v>423</v>
      </c>
      <c r="C1234" s="20" t="s">
        <v>46</v>
      </c>
      <c r="D1234" s="20">
        <v>520</v>
      </c>
      <c r="E1234" s="38">
        <v>1000</v>
      </c>
      <c r="F1234" s="20" t="s">
        <v>8</v>
      </c>
      <c r="G1234" s="43">
        <v>14.8</v>
      </c>
      <c r="H1234" s="43">
        <v>12</v>
      </c>
      <c r="I1234" s="43">
        <v>0</v>
      </c>
      <c r="J1234" s="43">
        <v>0</v>
      </c>
      <c r="K1234" s="1">
        <f t="shared" ref="K1234:K1237" si="2221">(IF(F1234="SELL",G1234-H1234,IF(F1234="BUY",H1234-G1234)))*E1234</f>
        <v>-2800.0000000000009</v>
      </c>
      <c r="L1234" s="43">
        <v>0</v>
      </c>
      <c r="M1234" s="43">
        <v>0</v>
      </c>
      <c r="N1234" s="1">
        <v>-2.8</v>
      </c>
      <c r="O1234" s="1">
        <f t="shared" si="2188"/>
        <v>-2800</v>
      </c>
      <c r="P1234" s="31"/>
      <c r="Q1234" s="31"/>
      <c r="R1234" s="31"/>
      <c r="S1234" s="31"/>
      <c r="T1234" s="31"/>
      <c r="U1234" s="31"/>
      <c r="V1234" s="31"/>
      <c r="W1234" s="31"/>
      <c r="X1234" s="31"/>
      <c r="Y1234" s="31"/>
      <c r="Z1234" s="31"/>
      <c r="AA1234" s="31"/>
      <c r="AB1234" s="31"/>
      <c r="AC1234" s="31"/>
      <c r="AD1234" s="31"/>
      <c r="AE1234" s="31"/>
      <c r="AF1234" s="31"/>
      <c r="AG1234" s="31"/>
    </row>
    <row r="1235" spans="1:33" s="32" customFormat="1" ht="15" customHeight="1">
      <c r="A1235" s="37">
        <v>43682</v>
      </c>
      <c r="B1235" s="20" t="s">
        <v>67</v>
      </c>
      <c r="C1235" s="20" t="s">
        <v>46</v>
      </c>
      <c r="D1235" s="20">
        <v>550</v>
      </c>
      <c r="E1235" s="38">
        <v>900</v>
      </c>
      <c r="F1235" s="20" t="s">
        <v>8</v>
      </c>
      <c r="G1235" s="43">
        <v>20</v>
      </c>
      <c r="H1235" s="43">
        <v>15.5</v>
      </c>
      <c r="I1235" s="43">
        <v>0</v>
      </c>
      <c r="J1235" s="43">
        <v>0</v>
      </c>
      <c r="K1235" s="1">
        <f t="shared" si="2221"/>
        <v>-4050</v>
      </c>
      <c r="L1235" s="43">
        <v>0</v>
      </c>
      <c r="M1235" s="43">
        <v>0</v>
      </c>
      <c r="N1235" s="1">
        <f>(L1235+K1235+M1235)/E1235</f>
        <v>-4.5</v>
      </c>
      <c r="O1235" s="1">
        <f t="shared" si="2188"/>
        <v>-4050</v>
      </c>
      <c r="P1235" s="31"/>
      <c r="Q1235" s="31"/>
      <c r="R1235" s="31"/>
      <c r="S1235" s="31"/>
      <c r="T1235" s="31"/>
      <c r="U1235" s="31"/>
      <c r="V1235" s="31"/>
      <c r="W1235" s="31"/>
      <c r="X1235" s="31"/>
      <c r="Y1235" s="31"/>
      <c r="Z1235" s="31"/>
      <c r="AA1235" s="31"/>
      <c r="AB1235" s="31"/>
      <c r="AC1235" s="31"/>
      <c r="AD1235" s="31"/>
      <c r="AE1235" s="31"/>
      <c r="AF1235" s="31"/>
      <c r="AG1235" s="31"/>
    </row>
    <row r="1236" spans="1:33" s="32" customFormat="1" ht="15" customHeight="1">
      <c r="A1236" s="37">
        <v>43679</v>
      </c>
      <c r="B1236" s="20" t="s">
        <v>128</v>
      </c>
      <c r="C1236" s="20" t="s">
        <v>47</v>
      </c>
      <c r="D1236" s="20">
        <v>1500</v>
      </c>
      <c r="E1236" s="38">
        <v>400</v>
      </c>
      <c r="F1236" s="20" t="s">
        <v>8</v>
      </c>
      <c r="G1236" s="43">
        <v>38</v>
      </c>
      <c r="H1236" s="43">
        <v>45</v>
      </c>
      <c r="I1236" s="43">
        <v>0</v>
      </c>
      <c r="J1236" s="43">
        <v>0</v>
      </c>
      <c r="K1236" s="1">
        <f t="shared" si="2221"/>
        <v>2800</v>
      </c>
      <c r="L1236" s="43">
        <v>0</v>
      </c>
      <c r="M1236" s="43">
        <v>0</v>
      </c>
      <c r="N1236" s="1">
        <v>7</v>
      </c>
      <c r="O1236" s="1">
        <f t="shared" si="2188"/>
        <v>2800</v>
      </c>
      <c r="P1236" s="31"/>
      <c r="Q1236" s="31"/>
      <c r="R1236" s="31"/>
      <c r="S1236" s="31"/>
      <c r="T1236" s="31"/>
      <c r="U1236" s="31"/>
      <c r="V1236" s="31"/>
      <c r="W1236" s="31"/>
      <c r="X1236" s="31"/>
      <c r="Y1236" s="31"/>
      <c r="Z1236" s="31"/>
      <c r="AA1236" s="31"/>
      <c r="AB1236" s="31"/>
      <c r="AC1236" s="31"/>
      <c r="AD1236" s="31"/>
      <c r="AE1236" s="31"/>
      <c r="AF1236" s="31"/>
      <c r="AG1236" s="31"/>
    </row>
    <row r="1237" spans="1:33" s="32" customFormat="1" ht="15" customHeight="1">
      <c r="A1237" s="37">
        <v>43679</v>
      </c>
      <c r="B1237" s="20" t="s">
        <v>444</v>
      </c>
      <c r="C1237" s="20" t="s">
        <v>46</v>
      </c>
      <c r="D1237" s="20">
        <v>280</v>
      </c>
      <c r="E1237" s="38">
        <v>1250</v>
      </c>
      <c r="F1237" s="20" t="s">
        <v>8</v>
      </c>
      <c r="G1237" s="43">
        <v>9</v>
      </c>
      <c r="H1237" s="43">
        <v>6</v>
      </c>
      <c r="I1237" s="43">
        <v>7.5</v>
      </c>
      <c r="J1237" s="43">
        <v>0</v>
      </c>
      <c r="K1237" s="1">
        <f t="shared" si="2221"/>
        <v>-3750</v>
      </c>
      <c r="L1237" s="43">
        <v>0</v>
      </c>
      <c r="M1237" s="43">
        <v>0</v>
      </c>
      <c r="N1237" s="1">
        <f t="shared" ref="N1237:N1300" si="2222">(L1237+K1237+M1237)/E1237</f>
        <v>-3</v>
      </c>
      <c r="O1237" s="1">
        <f t="shared" si="2188"/>
        <v>-3750</v>
      </c>
      <c r="P1237" s="31"/>
      <c r="Q1237" s="31"/>
      <c r="R1237" s="31"/>
      <c r="S1237" s="31"/>
      <c r="T1237" s="31"/>
      <c r="U1237" s="31"/>
      <c r="V1237" s="31"/>
      <c r="W1237" s="31"/>
      <c r="X1237" s="31"/>
      <c r="Y1237" s="31"/>
      <c r="Z1237" s="31"/>
      <c r="AA1237" s="31"/>
      <c r="AB1237" s="31"/>
      <c r="AC1237" s="31"/>
      <c r="AD1237" s="31"/>
      <c r="AE1237" s="31"/>
      <c r="AF1237" s="31"/>
      <c r="AG1237" s="31"/>
    </row>
    <row r="1238" spans="1:33" s="32" customFormat="1" ht="15" customHeight="1">
      <c r="A1238" s="37">
        <v>43679</v>
      </c>
      <c r="B1238" s="20" t="s">
        <v>443</v>
      </c>
      <c r="C1238" s="20" t="s">
        <v>46</v>
      </c>
      <c r="D1238" s="20">
        <v>400</v>
      </c>
      <c r="E1238" s="38">
        <v>800</v>
      </c>
      <c r="F1238" s="20" t="s">
        <v>8</v>
      </c>
      <c r="G1238" s="43">
        <v>20</v>
      </c>
      <c r="H1238" s="43">
        <v>16</v>
      </c>
      <c r="I1238" s="43">
        <v>7.5</v>
      </c>
      <c r="J1238" s="43">
        <v>0</v>
      </c>
      <c r="K1238" s="1">
        <f t="shared" ref="K1238:K1240" si="2223">(IF(F1238="SELL",G1238-H1238,IF(F1238="BUY",H1238-G1238)))*E1238</f>
        <v>-3200</v>
      </c>
      <c r="L1238" s="43">
        <v>0</v>
      </c>
      <c r="M1238" s="43">
        <v>0</v>
      </c>
      <c r="N1238" s="1">
        <f t="shared" si="2222"/>
        <v>-4</v>
      </c>
      <c r="O1238" s="1">
        <f t="shared" si="2188"/>
        <v>-3200</v>
      </c>
      <c r="P1238" s="31"/>
      <c r="Q1238" s="31"/>
      <c r="R1238" s="31"/>
      <c r="S1238" s="31"/>
      <c r="T1238" s="31"/>
      <c r="U1238" s="31"/>
      <c r="V1238" s="31"/>
      <c r="W1238" s="31"/>
      <c r="X1238" s="31"/>
      <c r="Y1238" s="31"/>
      <c r="Z1238" s="31"/>
      <c r="AA1238" s="31"/>
      <c r="AB1238" s="31"/>
      <c r="AC1238" s="31"/>
      <c r="AD1238" s="31"/>
      <c r="AE1238" s="31"/>
      <c r="AF1238" s="31"/>
      <c r="AG1238" s="31"/>
    </row>
    <row r="1239" spans="1:33" s="32" customFormat="1" ht="15" customHeight="1">
      <c r="A1239" s="37">
        <v>43678</v>
      </c>
      <c r="B1239" s="20" t="s">
        <v>96</v>
      </c>
      <c r="C1239" s="20" t="s">
        <v>46</v>
      </c>
      <c r="D1239" s="20">
        <v>540</v>
      </c>
      <c r="E1239" s="38">
        <v>1000</v>
      </c>
      <c r="F1239" s="20" t="s">
        <v>8</v>
      </c>
      <c r="G1239" s="43">
        <v>16.2</v>
      </c>
      <c r="H1239" s="43">
        <v>17.5</v>
      </c>
      <c r="I1239" s="43">
        <v>0</v>
      </c>
      <c r="J1239" s="43">
        <v>0</v>
      </c>
      <c r="K1239" s="1">
        <f t="shared" ref="K1239" si="2224">(IF(F1239="SELL",G1239-H1239,IF(F1239="BUY",H1239-G1239)))*E1239</f>
        <v>1300.0000000000007</v>
      </c>
      <c r="L1239" s="43">
        <v>0</v>
      </c>
      <c r="M1239" s="43">
        <v>0</v>
      </c>
      <c r="N1239" s="1">
        <f t="shared" si="2222"/>
        <v>1.3000000000000007</v>
      </c>
      <c r="O1239" s="1">
        <f t="shared" si="2188"/>
        <v>1300.0000000000007</v>
      </c>
      <c r="P1239" s="31"/>
      <c r="Q1239" s="31"/>
      <c r="R1239" s="31"/>
      <c r="S1239" s="31"/>
      <c r="T1239" s="31"/>
      <c r="U1239" s="31"/>
      <c r="V1239" s="31"/>
      <c r="W1239" s="31"/>
      <c r="X1239" s="31"/>
      <c r="Y1239" s="31"/>
      <c r="Z1239" s="31"/>
      <c r="AA1239" s="31"/>
      <c r="AB1239" s="31"/>
      <c r="AC1239" s="31"/>
      <c r="AD1239" s="31"/>
      <c r="AE1239" s="31"/>
      <c r="AF1239" s="31"/>
      <c r="AG1239" s="31"/>
    </row>
    <row r="1240" spans="1:33" s="32" customFormat="1" ht="15" customHeight="1">
      <c r="A1240" s="37">
        <v>43678</v>
      </c>
      <c r="B1240" s="20" t="s">
        <v>442</v>
      </c>
      <c r="C1240" s="20" t="s">
        <v>46</v>
      </c>
      <c r="D1240" s="20">
        <v>5400</v>
      </c>
      <c r="E1240" s="38">
        <v>75</v>
      </c>
      <c r="F1240" s="20" t="s">
        <v>8</v>
      </c>
      <c r="G1240" s="43">
        <v>190</v>
      </c>
      <c r="H1240" s="43">
        <v>150</v>
      </c>
      <c r="I1240" s="43">
        <v>0</v>
      </c>
      <c r="J1240" s="43">
        <v>0</v>
      </c>
      <c r="K1240" s="1">
        <f t="shared" si="2223"/>
        <v>-3000</v>
      </c>
      <c r="L1240" s="43">
        <v>0</v>
      </c>
      <c r="M1240" s="43">
        <v>0</v>
      </c>
      <c r="N1240" s="1">
        <f t="shared" si="2222"/>
        <v>-40</v>
      </c>
      <c r="O1240" s="1">
        <f t="shared" si="2188"/>
        <v>-3000</v>
      </c>
      <c r="P1240" s="31"/>
      <c r="Q1240" s="31"/>
      <c r="R1240" s="31"/>
      <c r="S1240" s="31"/>
      <c r="T1240" s="31"/>
      <c r="U1240" s="31"/>
      <c r="V1240" s="31"/>
      <c r="W1240" s="31"/>
      <c r="X1240" s="31"/>
      <c r="Y1240" s="31"/>
      <c r="Z1240" s="31"/>
      <c r="AA1240" s="31"/>
      <c r="AB1240" s="31"/>
      <c r="AC1240" s="31"/>
      <c r="AD1240" s="31"/>
      <c r="AE1240" s="31"/>
      <c r="AF1240" s="31"/>
      <c r="AG1240" s="31"/>
    </row>
    <row r="1241" spans="1:33" s="32" customFormat="1" ht="15" customHeight="1">
      <c r="A1241" s="37">
        <v>43677</v>
      </c>
      <c r="B1241" s="20" t="s">
        <v>326</v>
      </c>
      <c r="C1241" s="20" t="s">
        <v>46</v>
      </c>
      <c r="D1241" s="20">
        <v>207.5</v>
      </c>
      <c r="E1241" s="38">
        <v>4000</v>
      </c>
      <c r="F1241" s="20" t="s">
        <v>8</v>
      </c>
      <c r="G1241" s="43">
        <v>5.7</v>
      </c>
      <c r="H1241" s="43">
        <v>6.7</v>
      </c>
      <c r="I1241" s="43">
        <v>7.7</v>
      </c>
      <c r="J1241" s="43">
        <v>0</v>
      </c>
      <c r="K1241" s="1">
        <f t="shared" ref="K1241:K1243" si="2225">(IF(F1241="SELL",G1241-H1241,IF(F1241="BUY",H1241-G1241)))*E1241</f>
        <v>4000</v>
      </c>
      <c r="L1241" s="43">
        <f>E1241*1</f>
        <v>4000</v>
      </c>
      <c r="M1241" s="43">
        <v>0</v>
      </c>
      <c r="N1241" s="1">
        <f t="shared" si="2222"/>
        <v>2</v>
      </c>
      <c r="O1241" s="1">
        <f t="shared" si="2188"/>
        <v>8000</v>
      </c>
      <c r="P1241" s="31"/>
      <c r="Q1241" s="31"/>
      <c r="R1241" s="31"/>
      <c r="S1241" s="31"/>
      <c r="T1241" s="31"/>
      <c r="U1241" s="31"/>
      <c r="V1241" s="31"/>
      <c r="W1241" s="31"/>
      <c r="X1241" s="31"/>
      <c r="Y1241" s="31"/>
      <c r="Z1241" s="31"/>
      <c r="AA1241" s="31"/>
      <c r="AB1241" s="31"/>
      <c r="AC1241" s="31"/>
      <c r="AD1241" s="31"/>
      <c r="AE1241" s="31"/>
      <c r="AF1241" s="31"/>
      <c r="AG1241" s="31"/>
    </row>
    <row r="1242" spans="1:33" s="32" customFormat="1" ht="15" customHeight="1">
      <c r="A1242" s="37">
        <v>43677</v>
      </c>
      <c r="B1242" s="20" t="s">
        <v>98</v>
      </c>
      <c r="C1242" s="20" t="s">
        <v>46</v>
      </c>
      <c r="D1242" s="20">
        <v>230</v>
      </c>
      <c r="E1242" s="38">
        <v>1800</v>
      </c>
      <c r="F1242" s="20" t="s">
        <v>8</v>
      </c>
      <c r="G1242" s="43">
        <v>10.3</v>
      </c>
      <c r="H1242" s="43">
        <v>11.85</v>
      </c>
      <c r="I1242" s="43">
        <v>0</v>
      </c>
      <c r="J1242" s="43">
        <v>0</v>
      </c>
      <c r="K1242" s="1">
        <f t="shared" si="2225"/>
        <v>2789.9999999999982</v>
      </c>
      <c r="L1242" s="43">
        <v>0</v>
      </c>
      <c r="M1242" s="43">
        <v>0</v>
      </c>
      <c r="N1242" s="1">
        <f t="shared" si="2222"/>
        <v>1.5499999999999989</v>
      </c>
      <c r="O1242" s="1">
        <f t="shared" si="2188"/>
        <v>2789.9999999999982</v>
      </c>
      <c r="P1242" s="31"/>
      <c r="Q1242" s="31"/>
      <c r="R1242" s="31"/>
      <c r="S1242" s="31"/>
      <c r="T1242" s="31"/>
      <c r="U1242" s="31"/>
      <c r="V1242" s="31"/>
      <c r="W1242" s="31"/>
      <c r="X1242" s="31"/>
      <c r="Y1242" s="31"/>
      <c r="Z1242" s="31"/>
      <c r="AA1242" s="31"/>
      <c r="AB1242" s="31"/>
      <c r="AC1242" s="31"/>
      <c r="AD1242" s="31"/>
      <c r="AE1242" s="31"/>
      <c r="AF1242" s="31"/>
      <c r="AG1242" s="31"/>
    </row>
    <row r="1243" spans="1:33" s="32" customFormat="1" ht="15" customHeight="1">
      <c r="A1243" s="37">
        <v>43677</v>
      </c>
      <c r="B1243" s="20" t="s">
        <v>20</v>
      </c>
      <c r="C1243" s="20" t="s">
        <v>47</v>
      </c>
      <c r="D1243" s="20">
        <v>830</v>
      </c>
      <c r="E1243" s="38">
        <v>1200</v>
      </c>
      <c r="F1243" s="20" t="s">
        <v>8</v>
      </c>
      <c r="G1243" s="43">
        <v>6.1</v>
      </c>
      <c r="H1243" s="43">
        <v>5</v>
      </c>
      <c r="I1243" s="43">
        <v>0</v>
      </c>
      <c r="J1243" s="43">
        <v>0</v>
      </c>
      <c r="K1243" s="1">
        <f t="shared" si="2225"/>
        <v>-1319.9999999999995</v>
      </c>
      <c r="L1243" s="43">
        <v>0</v>
      </c>
      <c r="M1243" s="43">
        <v>0</v>
      </c>
      <c r="N1243" s="1">
        <f t="shared" si="2222"/>
        <v>-1.0999999999999996</v>
      </c>
      <c r="O1243" s="1">
        <f t="shared" si="2188"/>
        <v>-1319.9999999999995</v>
      </c>
      <c r="P1243" s="31"/>
      <c r="Q1243" s="31"/>
      <c r="R1243" s="31"/>
      <c r="S1243" s="31"/>
      <c r="T1243" s="31"/>
      <c r="U1243" s="31"/>
      <c r="V1243" s="31"/>
      <c r="W1243" s="31"/>
      <c r="X1243" s="31"/>
      <c r="Y1243" s="31"/>
      <c r="Z1243" s="31"/>
      <c r="AA1243" s="31"/>
      <c r="AB1243" s="31"/>
      <c r="AC1243" s="31"/>
      <c r="AD1243" s="31"/>
      <c r="AE1243" s="31"/>
      <c r="AF1243" s="31"/>
      <c r="AG1243" s="31"/>
    </row>
    <row r="1244" spans="1:33" s="32" customFormat="1" ht="15" customHeight="1">
      <c r="A1244" s="37">
        <v>43676</v>
      </c>
      <c r="B1244" s="20" t="s">
        <v>38</v>
      </c>
      <c r="C1244" s="20" t="s">
        <v>46</v>
      </c>
      <c r="D1244" s="20">
        <v>5300</v>
      </c>
      <c r="E1244" s="38">
        <v>75</v>
      </c>
      <c r="F1244" s="20" t="s">
        <v>8</v>
      </c>
      <c r="G1244" s="43">
        <v>110</v>
      </c>
      <c r="H1244" s="43">
        <v>128.4</v>
      </c>
      <c r="I1244" s="43">
        <v>0</v>
      </c>
      <c r="J1244" s="43">
        <v>0</v>
      </c>
      <c r="K1244" s="1">
        <f t="shared" ref="K1244:K1246" si="2226">(IF(F1244="SELL",G1244-H1244,IF(F1244="BUY",H1244-G1244)))*E1244</f>
        <v>1380.0000000000005</v>
      </c>
      <c r="L1244" s="43">
        <v>0</v>
      </c>
      <c r="M1244" s="43">
        <v>0</v>
      </c>
      <c r="N1244" s="1">
        <f t="shared" si="2222"/>
        <v>18.400000000000006</v>
      </c>
      <c r="O1244" s="1">
        <f t="shared" si="2188"/>
        <v>1380.0000000000005</v>
      </c>
      <c r="P1244" s="31"/>
      <c r="Q1244" s="31"/>
      <c r="R1244" s="31"/>
      <c r="S1244" s="31"/>
      <c r="T1244" s="31"/>
      <c r="U1244" s="31"/>
      <c r="V1244" s="31"/>
      <c r="W1244" s="31"/>
      <c r="X1244" s="31"/>
      <c r="Y1244" s="31"/>
      <c r="Z1244" s="31"/>
      <c r="AA1244" s="31"/>
      <c r="AB1244" s="31"/>
      <c r="AC1244" s="31"/>
      <c r="AD1244" s="31"/>
      <c r="AE1244" s="31"/>
      <c r="AF1244" s="31"/>
      <c r="AG1244" s="31"/>
    </row>
    <row r="1245" spans="1:33" s="32" customFormat="1" ht="15" customHeight="1">
      <c r="A1245" s="37">
        <v>43676</v>
      </c>
      <c r="B1245" s="20" t="s">
        <v>15</v>
      </c>
      <c r="C1245" s="20" t="s">
        <v>46</v>
      </c>
      <c r="D1245" s="20">
        <v>340</v>
      </c>
      <c r="E1245" s="38">
        <v>1100</v>
      </c>
      <c r="F1245" s="20" t="s">
        <v>8</v>
      </c>
      <c r="G1245" s="43">
        <v>10</v>
      </c>
      <c r="H1245" s="43">
        <v>12.5</v>
      </c>
      <c r="I1245" s="43">
        <v>0</v>
      </c>
      <c r="J1245" s="43">
        <v>0</v>
      </c>
      <c r="K1245" s="1">
        <f t="shared" si="2226"/>
        <v>2750</v>
      </c>
      <c r="L1245" s="43">
        <v>0</v>
      </c>
      <c r="M1245" s="43">
        <v>0</v>
      </c>
      <c r="N1245" s="1">
        <f t="shared" si="2222"/>
        <v>2.5</v>
      </c>
      <c r="O1245" s="1">
        <f t="shared" si="2188"/>
        <v>2750</v>
      </c>
      <c r="P1245" s="31"/>
      <c r="Q1245" s="31"/>
      <c r="R1245" s="31"/>
      <c r="S1245" s="31"/>
      <c r="T1245" s="31"/>
      <c r="U1245" s="31"/>
      <c r="V1245" s="31"/>
      <c r="W1245" s="31"/>
      <c r="X1245" s="31"/>
      <c r="Y1245" s="31"/>
      <c r="Z1245" s="31"/>
      <c r="AA1245" s="31"/>
      <c r="AB1245" s="31"/>
      <c r="AC1245" s="31"/>
      <c r="AD1245" s="31"/>
      <c r="AE1245" s="31"/>
      <c r="AF1245" s="31"/>
      <c r="AG1245" s="31"/>
    </row>
    <row r="1246" spans="1:33" s="32" customFormat="1" ht="15" customHeight="1">
      <c r="A1246" s="37">
        <v>43676</v>
      </c>
      <c r="B1246" s="20" t="s">
        <v>20</v>
      </c>
      <c r="C1246" s="20" t="s">
        <v>47</v>
      </c>
      <c r="D1246" s="20">
        <v>800</v>
      </c>
      <c r="E1246" s="38">
        <v>1200</v>
      </c>
      <c r="F1246" s="20" t="s">
        <v>8</v>
      </c>
      <c r="G1246" s="43">
        <v>16.399999999999999</v>
      </c>
      <c r="H1246" s="43">
        <v>15.2</v>
      </c>
      <c r="I1246" s="43">
        <v>0</v>
      </c>
      <c r="J1246" s="43">
        <v>0</v>
      </c>
      <c r="K1246" s="1">
        <f t="shared" si="2226"/>
        <v>-1439.9999999999991</v>
      </c>
      <c r="L1246" s="43">
        <v>0</v>
      </c>
      <c r="M1246" s="43">
        <v>0</v>
      </c>
      <c r="N1246" s="1">
        <f t="shared" si="2222"/>
        <v>-1.1999999999999993</v>
      </c>
      <c r="O1246" s="1">
        <f t="shared" si="2188"/>
        <v>-1439.9999999999991</v>
      </c>
      <c r="P1246" s="31"/>
      <c r="Q1246" s="31"/>
      <c r="R1246" s="31"/>
      <c r="S1246" s="31"/>
      <c r="T1246" s="31"/>
      <c r="U1246" s="31"/>
      <c r="V1246" s="31"/>
      <c r="W1246" s="31"/>
      <c r="X1246" s="31"/>
      <c r="Y1246" s="31"/>
      <c r="Z1246" s="31"/>
      <c r="AA1246" s="31"/>
      <c r="AB1246" s="31"/>
      <c r="AC1246" s="31"/>
      <c r="AD1246" s="31"/>
      <c r="AE1246" s="31"/>
      <c r="AF1246" s="31"/>
      <c r="AG1246" s="31"/>
    </row>
    <row r="1247" spans="1:33" s="32" customFormat="1" ht="15" customHeight="1">
      <c r="A1247" s="37">
        <v>43675</v>
      </c>
      <c r="B1247" s="20" t="s">
        <v>413</v>
      </c>
      <c r="C1247" s="20" t="s">
        <v>46</v>
      </c>
      <c r="D1247" s="20">
        <v>500</v>
      </c>
      <c r="E1247" s="38">
        <v>800</v>
      </c>
      <c r="F1247" s="20" t="s">
        <v>8</v>
      </c>
      <c r="G1247" s="43">
        <v>26</v>
      </c>
      <c r="H1247" s="43">
        <v>30</v>
      </c>
      <c r="I1247" s="43">
        <v>34</v>
      </c>
      <c r="J1247" s="43">
        <v>0</v>
      </c>
      <c r="K1247" s="1">
        <f t="shared" ref="K1247" si="2227">(IF(F1247="SELL",G1247-H1247,IF(F1247="BUY",H1247-G1247)))*E1247</f>
        <v>3200</v>
      </c>
      <c r="L1247" s="43">
        <f>E1247*4</f>
        <v>3200</v>
      </c>
      <c r="M1247" s="43">
        <v>0</v>
      </c>
      <c r="N1247" s="1">
        <f t="shared" si="2222"/>
        <v>8</v>
      </c>
      <c r="O1247" s="1">
        <f t="shared" si="2188"/>
        <v>6400</v>
      </c>
      <c r="P1247" s="31"/>
      <c r="Q1247" s="31"/>
      <c r="R1247" s="31"/>
      <c r="S1247" s="31"/>
      <c r="T1247" s="31"/>
      <c r="U1247" s="31"/>
      <c r="V1247" s="31"/>
      <c r="W1247" s="31"/>
      <c r="X1247" s="31"/>
      <c r="Y1247" s="31"/>
      <c r="Z1247" s="31"/>
      <c r="AA1247" s="31"/>
      <c r="AB1247" s="31"/>
      <c r="AC1247" s="31"/>
      <c r="AD1247" s="31"/>
      <c r="AE1247" s="31"/>
      <c r="AF1247" s="31"/>
      <c r="AG1247" s="31"/>
    </row>
    <row r="1248" spans="1:33" s="32" customFormat="1" ht="15" customHeight="1">
      <c r="A1248" s="37">
        <v>43675</v>
      </c>
      <c r="B1248" s="20" t="s">
        <v>38</v>
      </c>
      <c r="C1248" s="20" t="s">
        <v>46</v>
      </c>
      <c r="D1248" s="20">
        <v>5400</v>
      </c>
      <c r="E1248" s="38">
        <v>75</v>
      </c>
      <c r="F1248" s="20" t="s">
        <v>8</v>
      </c>
      <c r="G1248" s="43">
        <v>120</v>
      </c>
      <c r="H1248" s="43">
        <v>150</v>
      </c>
      <c r="I1248" s="43">
        <v>0</v>
      </c>
      <c r="J1248" s="43">
        <v>0</v>
      </c>
      <c r="K1248" s="1">
        <f t="shared" ref="K1248:K1249" si="2228">(IF(F1248="SELL",G1248-H1248,IF(F1248="BUY",H1248-G1248)))*E1248</f>
        <v>2250</v>
      </c>
      <c r="L1248" s="43">
        <v>0</v>
      </c>
      <c r="M1248" s="43">
        <v>0</v>
      </c>
      <c r="N1248" s="1">
        <f t="shared" si="2222"/>
        <v>30</v>
      </c>
      <c r="O1248" s="1">
        <f t="shared" ref="O1248:O1311" si="2229">N1248*E1248</f>
        <v>2250</v>
      </c>
      <c r="P1248" s="31"/>
      <c r="Q1248" s="31"/>
      <c r="R1248" s="31"/>
      <c r="S1248" s="31"/>
      <c r="T1248" s="31"/>
      <c r="U1248" s="31"/>
      <c r="V1248" s="31"/>
      <c r="W1248" s="31"/>
      <c r="X1248" s="31"/>
      <c r="Y1248" s="31"/>
      <c r="Z1248" s="31"/>
      <c r="AA1248" s="31"/>
      <c r="AB1248" s="31"/>
      <c r="AC1248" s="31"/>
      <c r="AD1248" s="31"/>
      <c r="AE1248" s="31"/>
      <c r="AF1248" s="31"/>
      <c r="AG1248" s="31"/>
    </row>
    <row r="1249" spans="1:33" s="32" customFormat="1" ht="15" customHeight="1">
      <c r="A1249" s="37">
        <v>43675</v>
      </c>
      <c r="B1249" s="20" t="s">
        <v>128</v>
      </c>
      <c r="C1249" s="20" t="s">
        <v>47</v>
      </c>
      <c r="D1249" s="20">
        <v>1520</v>
      </c>
      <c r="E1249" s="38">
        <v>400</v>
      </c>
      <c r="F1249" s="20" t="s">
        <v>8</v>
      </c>
      <c r="G1249" s="43">
        <v>41</v>
      </c>
      <c r="H1249" s="43">
        <v>31.5</v>
      </c>
      <c r="I1249" s="43">
        <v>0</v>
      </c>
      <c r="J1249" s="43">
        <v>0</v>
      </c>
      <c r="K1249" s="1">
        <f t="shared" si="2228"/>
        <v>-3800</v>
      </c>
      <c r="L1249" s="43">
        <v>0</v>
      </c>
      <c r="M1249" s="43">
        <v>0</v>
      </c>
      <c r="N1249" s="1">
        <f t="shared" si="2222"/>
        <v>-9.5</v>
      </c>
      <c r="O1249" s="1">
        <f t="shared" si="2229"/>
        <v>-3800</v>
      </c>
      <c r="P1249" s="31"/>
      <c r="Q1249" s="31"/>
      <c r="R1249" s="31"/>
      <c r="S1249" s="31"/>
      <c r="T1249" s="31"/>
      <c r="U1249" s="31"/>
      <c r="V1249" s="31"/>
      <c r="W1249" s="31"/>
      <c r="X1249" s="31"/>
      <c r="Y1249" s="31"/>
      <c r="Z1249" s="31"/>
      <c r="AA1249" s="31"/>
      <c r="AB1249" s="31"/>
      <c r="AC1249" s="31"/>
      <c r="AD1249" s="31"/>
      <c r="AE1249" s="31"/>
      <c r="AF1249" s="31"/>
      <c r="AG1249" s="31"/>
    </row>
    <row r="1250" spans="1:33" s="32" customFormat="1" ht="15" customHeight="1">
      <c r="A1250" s="37">
        <v>43672</v>
      </c>
      <c r="B1250" s="20" t="s">
        <v>420</v>
      </c>
      <c r="C1250" s="20" t="s">
        <v>47</v>
      </c>
      <c r="D1250" s="20">
        <v>1540</v>
      </c>
      <c r="E1250" s="38">
        <v>600</v>
      </c>
      <c r="F1250" s="20" t="s">
        <v>8</v>
      </c>
      <c r="G1250" s="43">
        <v>27</v>
      </c>
      <c r="H1250" s="43">
        <v>32</v>
      </c>
      <c r="I1250" s="43">
        <v>0</v>
      </c>
      <c r="J1250" s="43">
        <v>0</v>
      </c>
      <c r="K1250" s="1">
        <f t="shared" ref="K1250:K1252" si="2230">(IF(F1250="SELL",G1250-H1250,IF(F1250="BUY",H1250-G1250)))*E1250</f>
        <v>3000</v>
      </c>
      <c r="L1250" s="43">
        <v>0</v>
      </c>
      <c r="M1250" s="43">
        <v>0</v>
      </c>
      <c r="N1250" s="1">
        <f t="shared" si="2222"/>
        <v>5</v>
      </c>
      <c r="O1250" s="1">
        <f t="shared" si="2229"/>
        <v>3000</v>
      </c>
      <c r="P1250" s="31"/>
      <c r="Q1250" s="31"/>
      <c r="R1250" s="31"/>
      <c r="S1250" s="31"/>
      <c r="T1250" s="31"/>
      <c r="U1250" s="31"/>
      <c r="V1250" s="31"/>
      <c r="W1250" s="31"/>
      <c r="X1250" s="31"/>
      <c r="Y1250" s="31"/>
      <c r="Z1250" s="31"/>
      <c r="AA1250" s="31"/>
      <c r="AB1250" s="31"/>
      <c r="AC1250" s="31"/>
      <c r="AD1250" s="31"/>
      <c r="AE1250" s="31"/>
      <c r="AF1250" s="31"/>
      <c r="AG1250" s="31"/>
    </row>
    <row r="1251" spans="1:33" s="32" customFormat="1" ht="15" customHeight="1">
      <c r="A1251" s="37">
        <v>43672</v>
      </c>
      <c r="B1251" s="20" t="s">
        <v>37</v>
      </c>
      <c r="C1251" s="20" t="s">
        <v>46</v>
      </c>
      <c r="D1251" s="20">
        <v>2100</v>
      </c>
      <c r="E1251" s="38">
        <v>250</v>
      </c>
      <c r="F1251" s="20" t="s">
        <v>8</v>
      </c>
      <c r="G1251" s="43">
        <v>41</v>
      </c>
      <c r="H1251" s="43">
        <v>38</v>
      </c>
      <c r="I1251" s="43">
        <v>0</v>
      </c>
      <c r="J1251" s="43">
        <v>0</v>
      </c>
      <c r="K1251" s="1">
        <f t="shared" si="2230"/>
        <v>-750</v>
      </c>
      <c r="L1251" s="43">
        <v>0</v>
      </c>
      <c r="M1251" s="43">
        <v>0</v>
      </c>
      <c r="N1251" s="1">
        <f t="shared" si="2222"/>
        <v>-3</v>
      </c>
      <c r="O1251" s="1">
        <f t="shared" si="2229"/>
        <v>-750</v>
      </c>
      <c r="P1251" s="31"/>
      <c r="Q1251" s="31"/>
      <c r="R1251" s="31"/>
      <c r="S1251" s="31"/>
      <c r="T1251" s="31"/>
      <c r="U1251" s="31"/>
      <c r="V1251" s="31"/>
      <c r="W1251" s="31"/>
      <c r="X1251" s="31"/>
      <c r="Y1251" s="31"/>
      <c r="Z1251" s="31"/>
      <c r="AA1251" s="31"/>
      <c r="AB1251" s="31"/>
      <c r="AC1251" s="31"/>
      <c r="AD1251" s="31"/>
      <c r="AE1251" s="31"/>
      <c r="AF1251" s="31"/>
      <c r="AG1251" s="31"/>
    </row>
    <row r="1252" spans="1:33" s="32" customFormat="1" ht="15" customHeight="1">
      <c r="A1252" s="37">
        <v>43672</v>
      </c>
      <c r="B1252" s="20" t="s">
        <v>103</v>
      </c>
      <c r="C1252" s="20" t="s">
        <v>47</v>
      </c>
      <c r="D1252" s="20">
        <v>75</v>
      </c>
      <c r="E1252" s="38">
        <v>6000</v>
      </c>
      <c r="F1252" s="20" t="s">
        <v>8</v>
      </c>
      <c r="G1252" s="43">
        <v>3.5</v>
      </c>
      <c r="H1252" s="43">
        <v>3.5</v>
      </c>
      <c r="I1252" s="43">
        <v>0</v>
      </c>
      <c r="J1252" s="43">
        <v>0</v>
      </c>
      <c r="K1252" s="1">
        <f t="shared" si="2230"/>
        <v>0</v>
      </c>
      <c r="L1252" s="43">
        <v>0</v>
      </c>
      <c r="M1252" s="43">
        <v>0</v>
      </c>
      <c r="N1252" s="1">
        <f t="shared" si="2222"/>
        <v>0</v>
      </c>
      <c r="O1252" s="1">
        <f t="shared" si="2229"/>
        <v>0</v>
      </c>
      <c r="P1252" s="31"/>
      <c r="Q1252" s="31"/>
      <c r="R1252" s="31"/>
      <c r="S1252" s="31"/>
      <c r="T1252" s="31"/>
      <c r="U1252" s="31"/>
      <c r="V1252" s="31"/>
      <c r="W1252" s="31"/>
      <c r="X1252" s="31"/>
      <c r="Y1252" s="31"/>
      <c r="Z1252" s="31"/>
      <c r="AA1252" s="31"/>
      <c r="AB1252" s="31"/>
      <c r="AC1252" s="31"/>
      <c r="AD1252" s="31"/>
      <c r="AE1252" s="31"/>
      <c r="AF1252" s="31"/>
      <c r="AG1252" s="31"/>
    </row>
    <row r="1253" spans="1:33" s="32" customFormat="1" ht="15" customHeight="1">
      <c r="A1253" s="37">
        <v>43671</v>
      </c>
      <c r="B1253" s="20" t="s">
        <v>441</v>
      </c>
      <c r="C1253" s="20" t="s">
        <v>47</v>
      </c>
      <c r="D1253" s="20">
        <v>1000</v>
      </c>
      <c r="E1253" s="38">
        <v>600</v>
      </c>
      <c r="F1253" s="20" t="s">
        <v>8</v>
      </c>
      <c r="G1253" s="43">
        <v>38</v>
      </c>
      <c r="H1253" s="43">
        <v>43</v>
      </c>
      <c r="I1253" s="43">
        <v>47</v>
      </c>
      <c r="J1253" s="43">
        <v>52</v>
      </c>
      <c r="K1253" s="1">
        <f>(IF(F1253="SELL",G1253-H1253,IF(F1253="BUY",H1253-G1253)))*E1253</f>
        <v>3000</v>
      </c>
      <c r="L1253" s="43">
        <f>E1253*4</f>
        <v>2400</v>
      </c>
      <c r="M1253" s="43">
        <f>E1253*5</f>
        <v>3000</v>
      </c>
      <c r="N1253" s="1">
        <f t="shared" si="2222"/>
        <v>14</v>
      </c>
      <c r="O1253" s="1">
        <f t="shared" si="2229"/>
        <v>8400</v>
      </c>
      <c r="P1253" s="31"/>
      <c r="Q1253" s="31"/>
      <c r="R1253" s="31"/>
      <c r="S1253" s="31"/>
      <c r="T1253" s="31"/>
      <c r="U1253" s="31"/>
      <c r="V1253" s="31"/>
      <c r="W1253" s="31"/>
      <c r="X1253" s="31"/>
      <c r="Y1253" s="31"/>
      <c r="Z1253" s="31"/>
      <c r="AA1253" s="31"/>
      <c r="AB1253" s="31"/>
      <c r="AC1253" s="31"/>
      <c r="AD1253" s="31"/>
      <c r="AE1253" s="31"/>
      <c r="AF1253" s="31"/>
      <c r="AG1253" s="31"/>
    </row>
    <row r="1254" spans="1:33" s="32" customFormat="1" ht="15" customHeight="1">
      <c r="A1254" s="37">
        <v>43671</v>
      </c>
      <c r="B1254" s="20" t="s">
        <v>439</v>
      </c>
      <c r="C1254" s="20" t="s">
        <v>47</v>
      </c>
      <c r="D1254" s="20">
        <v>760</v>
      </c>
      <c r="E1254" s="38">
        <v>700</v>
      </c>
      <c r="F1254" s="20" t="s">
        <v>8</v>
      </c>
      <c r="G1254" s="43">
        <v>32</v>
      </c>
      <c r="H1254" s="43">
        <v>35</v>
      </c>
      <c r="I1254" s="43">
        <v>38</v>
      </c>
      <c r="J1254" s="43">
        <v>0</v>
      </c>
      <c r="K1254" s="1">
        <f t="shared" ref="K1254:K1255" si="2231">(IF(F1254="SELL",G1254-H1254,IF(F1254="BUY",H1254-G1254)))*E1254</f>
        <v>2100</v>
      </c>
      <c r="L1254" s="43">
        <f>E1254*3</f>
        <v>2100</v>
      </c>
      <c r="M1254" s="43">
        <v>0</v>
      </c>
      <c r="N1254" s="1">
        <f t="shared" si="2222"/>
        <v>6</v>
      </c>
      <c r="O1254" s="1">
        <f t="shared" si="2229"/>
        <v>4200</v>
      </c>
      <c r="P1254" s="31"/>
      <c r="Q1254" s="31"/>
      <c r="R1254" s="31"/>
      <c r="S1254" s="31"/>
      <c r="T1254" s="31"/>
      <c r="U1254" s="31"/>
      <c r="V1254" s="31"/>
      <c r="W1254" s="31"/>
      <c r="X1254" s="31"/>
      <c r="Y1254" s="31"/>
      <c r="Z1254" s="31"/>
      <c r="AA1254" s="31"/>
      <c r="AB1254" s="31"/>
      <c r="AC1254" s="31"/>
      <c r="AD1254" s="31"/>
      <c r="AE1254" s="31"/>
      <c r="AF1254" s="31"/>
      <c r="AG1254" s="31"/>
    </row>
    <row r="1255" spans="1:33" s="32" customFormat="1" ht="15" customHeight="1">
      <c r="A1255" s="37">
        <v>43671</v>
      </c>
      <c r="B1255" s="20" t="s">
        <v>440</v>
      </c>
      <c r="C1255" s="20" t="s">
        <v>47</v>
      </c>
      <c r="D1255" s="20">
        <v>2700</v>
      </c>
      <c r="E1255" s="38">
        <v>250</v>
      </c>
      <c r="F1255" s="20" t="s">
        <v>8</v>
      </c>
      <c r="G1255" s="43">
        <v>82</v>
      </c>
      <c r="H1255" s="43">
        <v>90</v>
      </c>
      <c r="I1255" s="43">
        <v>0</v>
      </c>
      <c r="J1255" s="43">
        <v>0</v>
      </c>
      <c r="K1255" s="1">
        <f t="shared" si="2231"/>
        <v>2000</v>
      </c>
      <c r="L1255" s="43">
        <v>0</v>
      </c>
      <c r="M1255" s="43">
        <v>0</v>
      </c>
      <c r="N1255" s="1">
        <f t="shared" si="2222"/>
        <v>8</v>
      </c>
      <c r="O1255" s="1">
        <f t="shared" si="2229"/>
        <v>2000</v>
      </c>
      <c r="P1255" s="31"/>
      <c r="Q1255" s="31"/>
      <c r="R1255" s="31"/>
      <c r="S1255" s="31"/>
      <c r="T1255" s="31"/>
      <c r="U1255" s="31"/>
      <c r="V1255" s="31"/>
      <c r="W1255" s="31"/>
      <c r="X1255" s="31"/>
      <c r="Y1255" s="31"/>
      <c r="Z1255" s="31"/>
      <c r="AA1255" s="31"/>
      <c r="AB1255" s="31"/>
      <c r="AC1255" s="31"/>
      <c r="AD1255" s="31"/>
      <c r="AE1255" s="31"/>
      <c r="AF1255" s="31"/>
      <c r="AG1255" s="31"/>
    </row>
    <row r="1256" spans="1:33" s="32" customFormat="1" ht="15" customHeight="1">
      <c r="A1256" s="37">
        <v>43670</v>
      </c>
      <c r="B1256" s="20" t="s">
        <v>300</v>
      </c>
      <c r="C1256" s="20" t="s">
        <v>46</v>
      </c>
      <c r="D1256" s="20">
        <v>300</v>
      </c>
      <c r="E1256" s="38">
        <v>1250</v>
      </c>
      <c r="F1256" s="20" t="s">
        <v>8</v>
      </c>
      <c r="G1256" s="43">
        <v>3</v>
      </c>
      <c r="H1256" s="43">
        <v>4.5</v>
      </c>
      <c r="I1256" s="43">
        <v>0</v>
      </c>
      <c r="J1256" s="43">
        <v>0</v>
      </c>
      <c r="K1256" s="1">
        <f t="shared" ref="K1256:K1259" si="2232">(IF(F1256="SELL",G1256-H1256,IF(F1256="BUY",H1256-G1256)))*E1256</f>
        <v>1875</v>
      </c>
      <c r="L1256" s="43">
        <v>0</v>
      </c>
      <c r="M1256" s="43">
        <v>0</v>
      </c>
      <c r="N1256" s="1">
        <f t="shared" si="2222"/>
        <v>1.5</v>
      </c>
      <c r="O1256" s="1">
        <f t="shared" si="2229"/>
        <v>1875</v>
      </c>
      <c r="P1256" s="31"/>
      <c r="Q1256" s="31"/>
      <c r="R1256" s="31"/>
      <c r="S1256" s="31"/>
      <c r="T1256" s="31"/>
      <c r="U1256" s="31"/>
      <c r="V1256" s="31"/>
      <c r="W1256" s="31"/>
      <c r="X1256" s="31"/>
      <c r="Y1256" s="31"/>
      <c r="Z1256" s="31"/>
      <c r="AA1256" s="31"/>
      <c r="AB1256" s="31"/>
      <c r="AC1256" s="31"/>
      <c r="AD1256" s="31"/>
      <c r="AE1256" s="31"/>
      <c r="AF1256" s="31"/>
      <c r="AG1256" s="31"/>
    </row>
    <row r="1257" spans="1:33" s="32" customFormat="1" ht="15" customHeight="1">
      <c r="A1257" s="37">
        <v>43670</v>
      </c>
      <c r="B1257" s="20" t="s">
        <v>400</v>
      </c>
      <c r="C1257" s="20" t="s">
        <v>46</v>
      </c>
      <c r="D1257" s="20">
        <v>450</v>
      </c>
      <c r="E1257" s="38">
        <v>1061</v>
      </c>
      <c r="F1257" s="20" t="s">
        <v>8</v>
      </c>
      <c r="G1257" s="43">
        <v>7</v>
      </c>
      <c r="H1257" s="43">
        <v>5.5</v>
      </c>
      <c r="I1257" s="43">
        <v>0</v>
      </c>
      <c r="J1257" s="43">
        <v>0</v>
      </c>
      <c r="K1257" s="1">
        <f t="shared" si="2232"/>
        <v>-1591.5</v>
      </c>
      <c r="L1257" s="43">
        <v>0</v>
      </c>
      <c r="M1257" s="43">
        <v>0</v>
      </c>
      <c r="N1257" s="1">
        <f t="shared" si="2222"/>
        <v>-1.5</v>
      </c>
      <c r="O1257" s="1">
        <f t="shared" si="2229"/>
        <v>-1591.5</v>
      </c>
      <c r="P1257" s="31"/>
      <c r="Q1257" s="31"/>
      <c r="R1257" s="31"/>
      <c r="S1257" s="31"/>
      <c r="T1257" s="31"/>
      <c r="U1257" s="31"/>
      <c r="V1257" s="31"/>
      <c r="W1257" s="31"/>
      <c r="X1257" s="31"/>
      <c r="Y1257" s="31"/>
      <c r="Z1257" s="31"/>
      <c r="AA1257" s="31"/>
      <c r="AB1257" s="31"/>
      <c r="AC1257" s="31"/>
      <c r="AD1257" s="31"/>
      <c r="AE1257" s="31"/>
      <c r="AF1257" s="31"/>
      <c r="AG1257" s="31"/>
    </row>
    <row r="1258" spans="1:33" s="32" customFormat="1" ht="15" customHeight="1">
      <c r="A1258" s="37">
        <v>43670</v>
      </c>
      <c r="B1258" s="20" t="s">
        <v>27</v>
      </c>
      <c r="C1258" s="20" t="s">
        <v>46</v>
      </c>
      <c r="D1258" s="20">
        <v>220</v>
      </c>
      <c r="E1258" s="38">
        <v>2200</v>
      </c>
      <c r="F1258" s="20" t="s">
        <v>8</v>
      </c>
      <c r="G1258" s="43">
        <v>4.7</v>
      </c>
      <c r="H1258" s="43">
        <v>3.85</v>
      </c>
      <c r="I1258" s="43">
        <v>0</v>
      </c>
      <c r="J1258" s="43">
        <v>0</v>
      </c>
      <c r="K1258" s="1">
        <f t="shared" si="2232"/>
        <v>-1870.0000000000002</v>
      </c>
      <c r="L1258" s="43">
        <v>0</v>
      </c>
      <c r="M1258" s="43">
        <v>0</v>
      </c>
      <c r="N1258" s="1">
        <f t="shared" si="2222"/>
        <v>-0.85000000000000009</v>
      </c>
      <c r="O1258" s="1">
        <f t="shared" si="2229"/>
        <v>-1870.0000000000002</v>
      </c>
      <c r="P1258" s="31"/>
      <c r="Q1258" s="31"/>
      <c r="R1258" s="31"/>
      <c r="S1258" s="31"/>
      <c r="T1258" s="31"/>
      <c r="U1258" s="31"/>
      <c r="V1258" s="31"/>
      <c r="W1258" s="31"/>
      <c r="X1258" s="31"/>
      <c r="Y1258" s="31"/>
      <c r="Z1258" s="31"/>
      <c r="AA1258" s="31"/>
      <c r="AB1258" s="31"/>
      <c r="AC1258" s="31"/>
      <c r="AD1258" s="31"/>
      <c r="AE1258" s="31"/>
      <c r="AF1258" s="31"/>
      <c r="AG1258" s="31"/>
    </row>
    <row r="1259" spans="1:33" s="32" customFormat="1" ht="15" customHeight="1">
      <c r="A1259" s="37">
        <v>43670</v>
      </c>
      <c r="B1259" s="20" t="s">
        <v>22</v>
      </c>
      <c r="C1259" s="20" t="s">
        <v>47</v>
      </c>
      <c r="D1259" s="20">
        <v>175</v>
      </c>
      <c r="E1259" s="38">
        <v>2800</v>
      </c>
      <c r="F1259" s="20" t="s">
        <v>8</v>
      </c>
      <c r="G1259" s="43">
        <v>2.9</v>
      </c>
      <c r="H1259" s="43">
        <v>1.9</v>
      </c>
      <c r="I1259" s="43">
        <v>0</v>
      </c>
      <c r="J1259" s="43">
        <v>0</v>
      </c>
      <c r="K1259" s="1">
        <f t="shared" si="2232"/>
        <v>-2800</v>
      </c>
      <c r="L1259" s="43">
        <v>0</v>
      </c>
      <c r="M1259" s="43">
        <v>0</v>
      </c>
      <c r="N1259" s="1">
        <f t="shared" si="2222"/>
        <v>-1</v>
      </c>
      <c r="O1259" s="1">
        <f t="shared" si="2229"/>
        <v>-2800</v>
      </c>
      <c r="P1259" s="31"/>
      <c r="Q1259" s="31"/>
      <c r="R1259" s="31"/>
      <c r="S1259" s="31"/>
      <c r="T1259" s="31"/>
      <c r="U1259" s="31"/>
      <c r="V1259" s="31"/>
      <c r="W1259" s="31"/>
      <c r="X1259" s="31"/>
      <c r="Y1259" s="31"/>
      <c r="Z1259" s="31"/>
      <c r="AA1259" s="31"/>
      <c r="AB1259" s="31"/>
      <c r="AC1259" s="31"/>
      <c r="AD1259" s="31"/>
      <c r="AE1259" s="31"/>
      <c r="AF1259" s="31"/>
      <c r="AG1259" s="31"/>
    </row>
    <row r="1260" spans="1:33" s="32" customFormat="1" ht="15" customHeight="1">
      <c r="A1260" s="37">
        <v>43669</v>
      </c>
      <c r="B1260" s="20" t="s">
        <v>437</v>
      </c>
      <c r="C1260" s="20" t="s">
        <v>46</v>
      </c>
      <c r="D1260" s="20">
        <v>380</v>
      </c>
      <c r="E1260" s="38">
        <v>1100</v>
      </c>
      <c r="F1260" s="20" t="s">
        <v>8</v>
      </c>
      <c r="G1260" s="43">
        <v>10</v>
      </c>
      <c r="H1260" s="43">
        <v>12</v>
      </c>
      <c r="I1260" s="43">
        <v>16</v>
      </c>
      <c r="J1260" s="43">
        <v>0</v>
      </c>
      <c r="K1260" s="1">
        <f t="shared" ref="K1260:K1262" si="2233">(IF(F1260="SELL",G1260-H1260,IF(F1260="BUY",H1260-G1260)))*E1260</f>
        <v>2200</v>
      </c>
      <c r="L1260" s="43">
        <f>E1260*4</f>
        <v>4400</v>
      </c>
      <c r="M1260" s="43">
        <v>0</v>
      </c>
      <c r="N1260" s="1">
        <f t="shared" si="2222"/>
        <v>6</v>
      </c>
      <c r="O1260" s="1">
        <f t="shared" si="2229"/>
        <v>6600</v>
      </c>
      <c r="P1260" s="31"/>
      <c r="Q1260" s="31"/>
      <c r="R1260" s="31"/>
      <c r="S1260" s="31"/>
      <c r="T1260" s="31"/>
      <c r="U1260" s="31"/>
      <c r="V1260" s="31"/>
      <c r="W1260" s="31"/>
      <c r="X1260" s="31"/>
      <c r="Y1260" s="31"/>
      <c r="Z1260" s="31"/>
      <c r="AA1260" s="31"/>
      <c r="AB1260" s="31"/>
      <c r="AC1260" s="31"/>
      <c r="AD1260" s="31"/>
      <c r="AE1260" s="31"/>
      <c r="AF1260" s="31"/>
      <c r="AG1260" s="31"/>
    </row>
    <row r="1261" spans="1:33" s="32" customFormat="1" ht="15" customHeight="1">
      <c r="A1261" s="37">
        <v>43669</v>
      </c>
      <c r="B1261" s="20" t="s">
        <v>438</v>
      </c>
      <c r="C1261" s="20" t="s">
        <v>46</v>
      </c>
      <c r="D1261" s="20">
        <v>2120</v>
      </c>
      <c r="E1261" s="38">
        <v>250</v>
      </c>
      <c r="F1261" s="20" t="s">
        <v>8</v>
      </c>
      <c r="G1261" s="43">
        <v>22</v>
      </c>
      <c r="H1261" s="43">
        <v>20</v>
      </c>
      <c r="I1261" s="43">
        <v>0</v>
      </c>
      <c r="J1261" s="43">
        <v>0</v>
      </c>
      <c r="K1261" s="1">
        <f t="shared" si="2233"/>
        <v>-500</v>
      </c>
      <c r="L1261" s="43">
        <v>0</v>
      </c>
      <c r="M1261" s="43">
        <v>0</v>
      </c>
      <c r="N1261" s="1">
        <f t="shared" si="2222"/>
        <v>-2</v>
      </c>
      <c r="O1261" s="1">
        <f t="shared" si="2229"/>
        <v>-500</v>
      </c>
      <c r="P1261" s="31"/>
      <c r="Q1261" s="31"/>
      <c r="R1261" s="31"/>
      <c r="S1261" s="31"/>
      <c r="T1261" s="31"/>
      <c r="U1261" s="31"/>
      <c r="V1261" s="31"/>
      <c r="W1261" s="31"/>
      <c r="X1261" s="31"/>
      <c r="Y1261" s="31"/>
      <c r="Z1261" s="31"/>
      <c r="AA1261" s="31"/>
      <c r="AB1261" s="31"/>
      <c r="AC1261" s="31"/>
      <c r="AD1261" s="31"/>
      <c r="AE1261" s="31"/>
      <c r="AF1261" s="31"/>
      <c r="AG1261" s="31"/>
    </row>
    <row r="1262" spans="1:33" s="32" customFormat="1" ht="15" customHeight="1">
      <c r="A1262" s="37">
        <v>43669</v>
      </c>
      <c r="B1262" s="20" t="s">
        <v>405</v>
      </c>
      <c r="C1262" s="20" t="s">
        <v>46</v>
      </c>
      <c r="D1262" s="20">
        <v>350</v>
      </c>
      <c r="E1262" s="38">
        <v>1300</v>
      </c>
      <c r="F1262" s="20" t="s">
        <v>8</v>
      </c>
      <c r="G1262" s="43">
        <v>8.5</v>
      </c>
      <c r="H1262" s="43">
        <v>4</v>
      </c>
      <c r="I1262" s="43">
        <v>0</v>
      </c>
      <c r="J1262" s="43">
        <v>0</v>
      </c>
      <c r="K1262" s="1">
        <f t="shared" si="2233"/>
        <v>-5850</v>
      </c>
      <c r="L1262" s="43">
        <v>0</v>
      </c>
      <c r="M1262" s="43">
        <v>0</v>
      </c>
      <c r="N1262" s="1">
        <f t="shared" si="2222"/>
        <v>-4.5</v>
      </c>
      <c r="O1262" s="1">
        <f t="shared" si="2229"/>
        <v>-5850</v>
      </c>
      <c r="P1262" s="31"/>
      <c r="Q1262" s="31"/>
      <c r="R1262" s="31"/>
      <c r="S1262" s="31"/>
      <c r="T1262" s="31"/>
      <c r="U1262" s="31"/>
      <c r="V1262" s="31"/>
      <c r="W1262" s="31"/>
      <c r="X1262" s="31"/>
      <c r="Y1262" s="31"/>
      <c r="Z1262" s="31"/>
      <c r="AA1262" s="31"/>
      <c r="AB1262" s="31"/>
      <c r="AC1262" s="31"/>
      <c r="AD1262" s="31"/>
      <c r="AE1262" s="31"/>
      <c r="AF1262" s="31"/>
      <c r="AG1262" s="31"/>
    </row>
    <row r="1263" spans="1:33" s="32" customFormat="1" ht="15" customHeight="1">
      <c r="A1263" s="37">
        <v>43668</v>
      </c>
      <c r="B1263" s="20" t="s">
        <v>92</v>
      </c>
      <c r="C1263" s="20" t="s">
        <v>47</v>
      </c>
      <c r="D1263" s="20">
        <v>590</v>
      </c>
      <c r="E1263" s="38">
        <v>1250</v>
      </c>
      <c r="F1263" s="20" t="s">
        <v>8</v>
      </c>
      <c r="G1263" s="43">
        <v>15.5</v>
      </c>
      <c r="H1263" s="43">
        <v>17.5</v>
      </c>
      <c r="I1263" s="43">
        <v>20</v>
      </c>
      <c r="J1263" s="43">
        <v>0</v>
      </c>
      <c r="K1263" s="1">
        <f t="shared" ref="K1263:K1265" si="2234">(IF(F1263="SELL",G1263-H1263,IF(F1263="BUY",H1263-G1263)))*E1263</f>
        <v>2500</v>
      </c>
      <c r="L1263" s="43">
        <f>E1263*2.5</f>
        <v>3125</v>
      </c>
      <c r="M1263" s="43">
        <v>0</v>
      </c>
      <c r="N1263" s="1">
        <f t="shared" si="2222"/>
        <v>4.5</v>
      </c>
      <c r="O1263" s="1">
        <f t="shared" si="2229"/>
        <v>5625</v>
      </c>
      <c r="P1263" s="31"/>
      <c r="Q1263" s="31"/>
      <c r="R1263" s="31"/>
      <c r="S1263" s="31"/>
      <c r="T1263" s="31"/>
      <c r="U1263" s="31"/>
      <c r="V1263" s="31"/>
      <c r="W1263" s="31"/>
      <c r="X1263" s="31"/>
      <c r="Y1263" s="31"/>
      <c r="Z1263" s="31"/>
      <c r="AA1263" s="31"/>
      <c r="AB1263" s="31"/>
      <c r="AC1263" s="31"/>
      <c r="AD1263" s="31"/>
      <c r="AE1263" s="31"/>
      <c r="AF1263" s="31"/>
      <c r="AG1263" s="31"/>
    </row>
    <row r="1264" spans="1:33" s="32" customFormat="1" ht="15" customHeight="1">
      <c r="A1264" s="37">
        <v>43668</v>
      </c>
      <c r="B1264" s="20" t="s">
        <v>107</v>
      </c>
      <c r="C1264" s="20" t="s">
        <v>47</v>
      </c>
      <c r="D1264" s="20">
        <v>430</v>
      </c>
      <c r="E1264" s="38">
        <v>1100</v>
      </c>
      <c r="F1264" s="20" t="s">
        <v>8</v>
      </c>
      <c r="G1264" s="43">
        <v>7</v>
      </c>
      <c r="H1264" s="43">
        <v>9</v>
      </c>
      <c r="I1264" s="43">
        <v>0</v>
      </c>
      <c r="J1264" s="43">
        <v>0</v>
      </c>
      <c r="K1264" s="1">
        <f t="shared" si="2234"/>
        <v>2200</v>
      </c>
      <c r="L1264" s="43">
        <v>0</v>
      </c>
      <c r="M1264" s="43">
        <v>0</v>
      </c>
      <c r="N1264" s="1">
        <f t="shared" si="2222"/>
        <v>2</v>
      </c>
      <c r="O1264" s="1">
        <f t="shared" si="2229"/>
        <v>2200</v>
      </c>
      <c r="P1264" s="31"/>
      <c r="Q1264" s="31"/>
      <c r="R1264" s="31"/>
      <c r="S1264" s="31"/>
      <c r="T1264" s="31"/>
      <c r="U1264" s="31"/>
      <c r="V1264" s="31"/>
      <c r="W1264" s="31"/>
      <c r="X1264" s="31"/>
      <c r="Y1264" s="31"/>
      <c r="Z1264" s="31"/>
      <c r="AA1264" s="31"/>
      <c r="AB1264" s="31"/>
      <c r="AC1264" s="31"/>
      <c r="AD1264" s="31"/>
      <c r="AE1264" s="31"/>
      <c r="AF1264" s="31"/>
      <c r="AG1264" s="31"/>
    </row>
    <row r="1265" spans="1:33" s="32" customFormat="1" ht="15" customHeight="1">
      <c r="A1265" s="37">
        <v>43668</v>
      </c>
      <c r="B1265" s="20" t="s">
        <v>96</v>
      </c>
      <c r="C1265" s="20" t="s">
        <v>47</v>
      </c>
      <c r="D1265" s="20">
        <v>570</v>
      </c>
      <c r="E1265" s="38">
        <v>1000</v>
      </c>
      <c r="F1265" s="20" t="s">
        <v>8</v>
      </c>
      <c r="G1265" s="43">
        <v>10</v>
      </c>
      <c r="H1265" s="43">
        <v>6</v>
      </c>
      <c r="I1265" s="43">
        <v>0</v>
      </c>
      <c r="J1265" s="43">
        <v>0</v>
      </c>
      <c r="K1265" s="1">
        <f t="shared" si="2234"/>
        <v>-4000</v>
      </c>
      <c r="L1265" s="43">
        <v>0</v>
      </c>
      <c r="M1265" s="43">
        <v>0</v>
      </c>
      <c r="N1265" s="1">
        <f t="shared" si="2222"/>
        <v>-4</v>
      </c>
      <c r="O1265" s="1">
        <f t="shared" si="2229"/>
        <v>-4000</v>
      </c>
      <c r="P1265" s="31"/>
      <c r="Q1265" s="31"/>
      <c r="R1265" s="31"/>
      <c r="S1265" s="31"/>
      <c r="T1265" s="31"/>
      <c r="U1265" s="31"/>
      <c r="V1265" s="31"/>
      <c r="W1265" s="31"/>
      <c r="X1265" s="31"/>
      <c r="Y1265" s="31"/>
      <c r="Z1265" s="31"/>
      <c r="AA1265" s="31"/>
      <c r="AB1265" s="31"/>
      <c r="AC1265" s="31"/>
      <c r="AD1265" s="31"/>
      <c r="AE1265" s="31"/>
      <c r="AF1265" s="31"/>
      <c r="AG1265" s="31"/>
    </row>
    <row r="1266" spans="1:33" s="32" customFormat="1" ht="15" customHeight="1">
      <c r="A1266" s="37">
        <v>43665</v>
      </c>
      <c r="B1266" s="20" t="s">
        <v>98</v>
      </c>
      <c r="C1266" s="20" t="s">
        <v>46</v>
      </c>
      <c r="D1266" s="20">
        <v>245</v>
      </c>
      <c r="E1266" s="38">
        <v>1800</v>
      </c>
      <c r="F1266" s="20" t="s">
        <v>8</v>
      </c>
      <c r="G1266" s="43">
        <v>5</v>
      </c>
      <c r="H1266" s="43">
        <v>6.5</v>
      </c>
      <c r="I1266" s="43">
        <v>8</v>
      </c>
      <c r="J1266" s="43">
        <v>0</v>
      </c>
      <c r="K1266" s="1">
        <f t="shared" ref="K1266:K1269" si="2235">(IF(F1266="SELL",G1266-H1266,IF(F1266="BUY",H1266-G1266)))*E1266</f>
        <v>2700</v>
      </c>
      <c r="L1266" s="43">
        <f>E1266*1.5</f>
        <v>2700</v>
      </c>
      <c r="M1266" s="43">
        <v>0</v>
      </c>
      <c r="N1266" s="1">
        <f t="shared" si="2222"/>
        <v>3</v>
      </c>
      <c r="O1266" s="1">
        <f t="shared" si="2229"/>
        <v>5400</v>
      </c>
      <c r="P1266" s="31"/>
      <c r="Q1266" s="31"/>
      <c r="R1266" s="31"/>
      <c r="S1266" s="31"/>
      <c r="T1266" s="31"/>
      <c r="U1266" s="31"/>
      <c r="V1266" s="31"/>
      <c r="W1266" s="31"/>
      <c r="X1266" s="31"/>
      <c r="Y1266" s="31"/>
      <c r="Z1266" s="31"/>
      <c r="AA1266" s="31"/>
      <c r="AB1266" s="31"/>
      <c r="AC1266" s="31"/>
      <c r="AD1266" s="31"/>
      <c r="AE1266" s="31"/>
      <c r="AF1266" s="31"/>
      <c r="AG1266" s="31"/>
    </row>
    <row r="1267" spans="1:33" s="32" customFormat="1" ht="15" customHeight="1">
      <c r="A1267" s="37">
        <v>43665</v>
      </c>
      <c r="B1267" s="20" t="s">
        <v>435</v>
      </c>
      <c r="C1267" s="20" t="s">
        <v>46</v>
      </c>
      <c r="D1267" s="20">
        <v>510</v>
      </c>
      <c r="E1267" s="38">
        <v>1200</v>
      </c>
      <c r="F1267" s="20" t="s">
        <v>8</v>
      </c>
      <c r="G1267" s="43">
        <v>16</v>
      </c>
      <c r="H1267" s="43">
        <v>18</v>
      </c>
      <c r="I1267" s="43">
        <v>21</v>
      </c>
      <c r="J1267" s="43">
        <v>0</v>
      </c>
      <c r="K1267" s="1">
        <f t="shared" si="2235"/>
        <v>2400</v>
      </c>
      <c r="L1267" s="43">
        <f>E1267*3</f>
        <v>3600</v>
      </c>
      <c r="M1267" s="43">
        <v>0</v>
      </c>
      <c r="N1267" s="1">
        <f t="shared" si="2222"/>
        <v>5</v>
      </c>
      <c r="O1267" s="1">
        <f t="shared" si="2229"/>
        <v>6000</v>
      </c>
      <c r="P1267" s="31"/>
      <c r="Q1267" s="31"/>
      <c r="R1267" s="31"/>
      <c r="S1267" s="31"/>
      <c r="T1267" s="31"/>
      <c r="U1267" s="31"/>
      <c r="V1267" s="31"/>
      <c r="W1267" s="31"/>
      <c r="X1267" s="31"/>
      <c r="Y1267" s="31"/>
      <c r="Z1267" s="31"/>
      <c r="AA1267" s="31"/>
      <c r="AB1267" s="31"/>
      <c r="AC1267" s="31"/>
      <c r="AD1267" s="31"/>
      <c r="AE1267" s="31"/>
      <c r="AF1267" s="31"/>
      <c r="AG1267" s="31"/>
    </row>
    <row r="1268" spans="1:33" s="32" customFormat="1" ht="15" customHeight="1">
      <c r="A1268" s="37">
        <v>43665</v>
      </c>
      <c r="B1268" s="20" t="s">
        <v>38</v>
      </c>
      <c r="C1268" s="20" t="s">
        <v>46</v>
      </c>
      <c r="D1268" s="20">
        <v>5700</v>
      </c>
      <c r="E1268" s="38">
        <v>75</v>
      </c>
      <c r="F1268" s="20" t="s">
        <v>8</v>
      </c>
      <c r="G1268" s="43">
        <v>90</v>
      </c>
      <c r="H1268" s="43">
        <v>75</v>
      </c>
      <c r="I1268" s="43">
        <v>0</v>
      </c>
      <c r="J1268" s="43">
        <v>0</v>
      </c>
      <c r="K1268" s="1">
        <f t="shared" si="2235"/>
        <v>-1125</v>
      </c>
      <c r="L1268" s="43">
        <v>0</v>
      </c>
      <c r="M1268" s="43">
        <v>0</v>
      </c>
      <c r="N1268" s="1">
        <f t="shared" si="2222"/>
        <v>-15</v>
      </c>
      <c r="O1268" s="1">
        <f t="shared" si="2229"/>
        <v>-1125</v>
      </c>
      <c r="P1268" s="31"/>
      <c r="Q1268" s="31"/>
      <c r="R1268" s="31"/>
      <c r="S1268" s="31"/>
      <c r="T1268" s="31"/>
      <c r="U1268" s="31"/>
      <c r="V1268" s="31"/>
      <c r="W1268" s="31"/>
      <c r="X1268" s="31"/>
      <c r="Y1268" s="31"/>
      <c r="Z1268" s="31"/>
      <c r="AA1268" s="31"/>
      <c r="AB1268" s="31"/>
      <c r="AC1268" s="31"/>
      <c r="AD1268" s="31"/>
      <c r="AE1268" s="31"/>
      <c r="AF1268" s="31"/>
      <c r="AG1268" s="31"/>
    </row>
    <row r="1269" spans="1:33" s="32" customFormat="1" ht="15" customHeight="1">
      <c r="A1269" s="37">
        <v>43665</v>
      </c>
      <c r="B1269" s="20" t="s">
        <v>20</v>
      </c>
      <c r="C1269" s="20" t="s">
        <v>46</v>
      </c>
      <c r="D1269" s="20">
        <v>780</v>
      </c>
      <c r="E1269" s="38">
        <v>1200</v>
      </c>
      <c r="F1269" s="20" t="s">
        <v>8</v>
      </c>
      <c r="G1269" s="43">
        <v>5</v>
      </c>
      <c r="H1269" s="43">
        <v>4</v>
      </c>
      <c r="I1269" s="43">
        <v>0</v>
      </c>
      <c r="J1269" s="43">
        <v>0</v>
      </c>
      <c r="K1269" s="1">
        <f t="shared" si="2235"/>
        <v>-1200</v>
      </c>
      <c r="L1269" s="43">
        <v>0</v>
      </c>
      <c r="M1269" s="43">
        <v>0</v>
      </c>
      <c r="N1269" s="1">
        <f t="shared" si="2222"/>
        <v>-1</v>
      </c>
      <c r="O1269" s="1">
        <f t="shared" si="2229"/>
        <v>-1200</v>
      </c>
      <c r="P1269" s="31"/>
      <c r="Q1269" s="31"/>
      <c r="R1269" s="31"/>
      <c r="S1269" s="31"/>
      <c r="T1269" s="31"/>
      <c r="U1269" s="31"/>
      <c r="V1269" s="31"/>
      <c r="W1269" s="31"/>
      <c r="X1269" s="31"/>
      <c r="Y1269" s="31"/>
      <c r="Z1269" s="31"/>
      <c r="AA1269" s="31"/>
      <c r="AB1269" s="31"/>
      <c r="AC1269" s="31"/>
      <c r="AD1269" s="31"/>
      <c r="AE1269" s="31"/>
      <c r="AF1269" s="31"/>
      <c r="AG1269" s="31"/>
    </row>
    <row r="1270" spans="1:33" s="32" customFormat="1" ht="15" customHeight="1">
      <c r="A1270" s="37">
        <v>43664</v>
      </c>
      <c r="B1270" s="20" t="s">
        <v>21</v>
      </c>
      <c r="C1270" s="20" t="s">
        <v>46</v>
      </c>
      <c r="D1270" s="20">
        <v>370</v>
      </c>
      <c r="E1270" s="38">
        <v>3000</v>
      </c>
      <c r="F1270" s="20" t="s">
        <v>8</v>
      </c>
      <c r="G1270" s="43">
        <v>5.3</v>
      </c>
      <c r="H1270" s="43">
        <v>6</v>
      </c>
      <c r="I1270" s="43">
        <v>7.5</v>
      </c>
      <c r="J1270" s="43">
        <v>0</v>
      </c>
      <c r="K1270" s="1">
        <f t="shared" ref="K1270:K1273" si="2236">(IF(F1270="SELL",G1270-H1270,IF(F1270="BUY",H1270-G1270)))*E1270</f>
        <v>2100.0000000000005</v>
      </c>
      <c r="L1270" s="43">
        <f>E1270*1.5</f>
        <v>4500</v>
      </c>
      <c r="M1270" s="43">
        <v>0</v>
      </c>
      <c r="N1270" s="1">
        <f t="shared" si="2222"/>
        <v>2.2000000000000002</v>
      </c>
      <c r="O1270" s="1">
        <f t="shared" si="2229"/>
        <v>6600.0000000000009</v>
      </c>
      <c r="P1270" s="31"/>
      <c r="Q1270" s="31"/>
      <c r="R1270" s="31"/>
      <c r="S1270" s="31"/>
      <c r="T1270" s="31"/>
      <c r="U1270" s="31"/>
      <c r="V1270" s="31"/>
      <c r="W1270" s="31"/>
      <c r="X1270" s="31"/>
      <c r="Y1270" s="31"/>
      <c r="Z1270" s="31"/>
      <c r="AA1270" s="31"/>
      <c r="AB1270" s="31"/>
      <c r="AC1270" s="31"/>
      <c r="AD1270" s="31"/>
      <c r="AE1270" s="31"/>
      <c r="AF1270" s="31"/>
      <c r="AG1270" s="31"/>
    </row>
    <row r="1271" spans="1:33" s="32" customFormat="1" ht="15" customHeight="1">
      <c r="A1271" s="37">
        <v>43664</v>
      </c>
      <c r="B1271" s="20" t="s">
        <v>89</v>
      </c>
      <c r="C1271" s="20" t="s">
        <v>46</v>
      </c>
      <c r="D1271" s="20">
        <v>540</v>
      </c>
      <c r="E1271" s="38">
        <v>1100</v>
      </c>
      <c r="F1271" s="20" t="s">
        <v>8</v>
      </c>
      <c r="G1271" s="43">
        <v>13</v>
      </c>
      <c r="H1271" s="43">
        <v>15</v>
      </c>
      <c r="I1271" s="43">
        <v>17</v>
      </c>
      <c r="J1271" s="43">
        <v>0</v>
      </c>
      <c r="K1271" s="1">
        <f t="shared" si="2236"/>
        <v>2200</v>
      </c>
      <c r="L1271" s="43">
        <f>E1271*2</f>
        <v>2200</v>
      </c>
      <c r="M1271" s="43">
        <v>0</v>
      </c>
      <c r="N1271" s="1">
        <f t="shared" si="2222"/>
        <v>4</v>
      </c>
      <c r="O1271" s="1">
        <f t="shared" si="2229"/>
        <v>4400</v>
      </c>
      <c r="P1271" s="31"/>
      <c r="Q1271" s="31"/>
      <c r="R1271" s="31"/>
      <c r="S1271" s="31"/>
      <c r="T1271" s="31"/>
      <c r="U1271" s="31"/>
      <c r="V1271" s="31"/>
      <c r="W1271" s="31"/>
      <c r="X1271" s="31"/>
      <c r="Y1271" s="31"/>
      <c r="Z1271" s="31"/>
      <c r="AA1271" s="31"/>
      <c r="AB1271" s="31"/>
      <c r="AC1271" s="31"/>
      <c r="AD1271" s="31"/>
      <c r="AE1271" s="31"/>
      <c r="AF1271" s="31"/>
      <c r="AG1271" s="31"/>
    </row>
    <row r="1272" spans="1:33" s="32" customFormat="1" ht="15" customHeight="1">
      <c r="A1272" s="37">
        <v>43664</v>
      </c>
      <c r="B1272" s="20" t="s">
        <v>10</v>
      </c>
      <c r="C1272" s="20" t="s">
        <v>46</v>
      </c>
      <c r="D1272" s="20">
        <v>710</v>
      </c>
      <c r="E1272" s="38">
        <v>1000</v>
      </c>
      <c r="F1272" s="20" t="s">
        <v>8</v>
      </c>
      <c r="G1272" s="43">
        <v>7</v>
      </c>
      <c r="H1272" s="43">
        <v>7.75</v>
      </c>
      <c r="I1272" s="43">
        <v>0</v>
      </c>
      <c r="J1272" s="43">
        <v>0</v>
      </c>
      <c r="K1272" s="1">
        <f t="shared" si="2236"/>
        <v>750</v>
      </c>
      <c r="L1272" s="43">
        <v>0</v>
      </c>
      <c r="M1272" s="43">
        <v>0</v>
      </c>
      <c r="N1272" s="1">
        <f t="shared" si="2222"/>
        <v>0.75</v>
      </c>
      <c r="O1272" s="1">
        <f t="shared" si="2229"/>
        <v>750</v>
      </c>
      <c r="P1272" s="31"/>
      <c r="Q1272" s="31"/>
      <c r="R1272" s="31"/>
      <c r="S1272" s="31"/>
      <c r="T1272" s="31"/>
      <c r="U1272" s="31"/>
      <c r="V1272" s="31"/>
      <c r="W1272" s="31"/>
      <c r="X1272" s="31"/>
      <c r="Y1272" s="31"/>
      <c r="Z1272" s="31"/>
      <c r="AA1272" s="31"/>
      <c r="AB1272" s="31"/>
      <c r="AC1272" s="31"/>
      <c r="AD1272" s="31"/>
      <c r="AE1272" s="31"/>
      <c r="AF1272" s="31"/>
      <c r="AG1272" s="31"/>
    </row>
    <row r="1273" spans="1:33" s="32" customFormat="1" ht="15" customHeight="1">
      <c r="A1273" s="37">
        <v>43664</v>
      </c>
      <c r="B1273" s="20" t="s">
        <v>72</v>
      </c>
      <c r="C1273" s="20" t="s">
        <v>46</v>
      </c>
      <c r="D1273" s="20">
        <v>350</v>
      </c>
      <c r="E1273" s="38">
        <v>1800</v>
      </c>
      <c r="F1273" s="20" t="s">
        <v>8</v>
      </c>
      <c r="G1273" s="43">
        <v>6</v>
      </c>
      <c r="H1273" s="43">
        <v>5</v>
      </c>
      <c r="I1273" s="43">
        <v>0</v>
      </c>
      <c r="J1273" s="43">
        <v>0</v>
      </c>
      <c r="K1273" s="1">
        <f t="shared" si="2236"/>
        <v>-1800</v>
      </c>
      <c r="L1273" s="43">
        <v>0</v>
      </c>
      <c r="M1273" s="43">
        <v>0</v>
      </c>
      <c r="N1273" s="1">
        <f t="shared" si="2222"/>
        <v>-1</v>
      </c>
      <c r="O1273" s="1">
        <f t="shared" si="2229"/>
        <v>-1800</v>
      </c>
      <c r="P1273" s="31"/>
      <c r="Q1273" s="31"/>
      <c r="R1273" s="31"/>
      <c r="S1273" s="31"/>
      <c r="T1273" s="31"/>
      <c r="U1273" s="31"/>
      <c r="V1273" s="31"/>
      <c r="W1273" s="31"/>
      <c r="X1273" s="31"/>
      <c r="Y1273" s="31"/>
      <c r="Z1273" s="31"/>
      <c r="AA1273" s="31"/>
      <c r="AB1273" s="31"/>
      <c r="AC1273" s="31"/>
      <c r="AD1273" s="31"/>
      <c r="AE1273" s="31"/>
      <c r="AF1273" s="31"/>
      <c r="AG1273" s="31"/>
    </row>
    <row r="1274" spans="1:33" s="32" customFormat="1" ht="15" customHeight="1">
      <c r="A1274" s="37">
        <v>43663</v>
      </c>
      <c r="B1274" s="20" t="s">
        <v>428</v>
      </c>
      <c r="C1274" s="20" t="s">
        <v>46</v>
      </c>
      <c r="D1274" s="20">
        <v>1460</v>
      </c>
      <c r="E1274" s="38">
        <v>400</v>
      </c>
      <c r="F1274" s="20" t="s">
        <v>8</v>
      </c>
      <c r="G1274" s="43">
        <v>25</v>
      </c>
      <c r="H1274" s="43">
        <v>15</v>
      </c>
      <c r="I1274" s="43">
        <v>0</v>
      </c>
      <c r="J1274" s="43">
        <v>0</v>
      </c>
      <c r="K1274" s="1">
        <f t="shared" ref="K1274:K1277" si="2237">(IF(F1274="SELL",G1274-H1274,IF(F1274="BUY",H1274-G1274)))*E1274</f>
        <v>-4000</v>
      </c>
      <c r="L1274" s="43">
        <v>0</v>
      </c>
      <c r="M1274" s="43">
        <v>0</v>
      </c>
      <c r="N1274" s="1">
        <f t="shared" si="2222"/>
        <v>-10</v>
      </c>
      <c r="O1274" s="1">
        <f t="shared" si="2229"/>
        <v>-4000</v>
      </c>
      <c r="P1274" s="31"/>
      <c r="Q1274" s="31"/>
      <c r="R1274" s="31"/>
      <c r="S1274" s="31"/>
      <c r="T1274" s="31"/>
      <c r="U1274" s="31"/>
      <c r="V1274" s="31"/>
      <c r="W1274" s="31"/>
      <c r="X1274" s="31"/>
      <c r="Y1274" s="31"/>
      <c r="Z1274" s="31"/>
      <c r="AA1274" s="31"/>
      <c r="AB1274" s="31"/>
      <c r="AC1274" s="31"/>
      <c r="AD1274" s="31"/>
      <c r="AE1274" s="31"/>
      <c r="AF1274" s="31"/>
      <c r="AG1274" s="31"/>
    </row>
    <row r="1275" spans="1:33" s="32" customFormat="1" ht="15" customHeight="1">
      <c r="A1275" s="37">
        <v>43663</v>
      </c>
      <c r="B1275" s="20" t="s">
        <v>367</v>
      </c>
      <c r="C1275" s="20" t="s">
        <v>47</v>
      </c>
      <c r="D1275" s="20">
        <v>185</v>
      </c>
      <c r="E1275" s="38">
        <v>3000</v>
      </c>
      <c r="F1275" s="20" t="s">
        <v>8</v>
      </c>
      <c r="G1275" s="43">
        <v>4.5</v>
      </c>
      <c r="H1275" s="43">
        <v>2.85</v>
      </c>
      <c r="I1275" s="43">
        <v>0</v>
      </c>
      <c r="J1275" s="43">
        <v>0</v>
      </c>
      <c r="K1275" s="1">
        <f t="shared" si="2237"/>
        <v>-4950</v>
      </c>
      <c r="L1275" s="43">
        <v>0</v>
      </c>
      <c r="M1275" s="43">
        <v>0</v>
      </c>
      <c r="N1275" s="1">
        <f t="shared" si="2222"/>
        <v>-1.65</v>
      </c>
      <c r="O1275" s="1">
        <f t="shared" si="2229"/>
        <v>-4950</v>
      </c>
      <c r="P1275" s="31"/>
      <c r="Q1275" s="31"/>
      <c r="R1275" s="31"/>
      <c r="S1275" s="31"/>
      <c r="T1275" s="31"/>
      <c r="U1275" s="31"/>
      <c r="V1275" s="31"/>
      <c r="W1275" s="31"/>
      <c r="X1275" s="31"/>
      <c r="Y1275" s="31"/>
      <c r="Z1275" s="31"/>
      <c r="AA1275" s="31"/>
      <c r="AB1275" s="31"/>
      <c r="AC1275" s="31"/>
      <c r="AD1275" s="31"/>
      <c r="AE1275" s="31"/>
      <c r="AF1275" s="31"/>
      <c r="AG1275" s="31"/>
    </row>
    <row r="1276" spans="1:33" s="32" customFormat="1" ht="15" customHeight="1">
      <c r="A1276" s="37">
        <v>43663</v>
      </c>
      <c r="B1276" s="20" t="s">
        <v>406</v>
      </c>
      <c r="C1276" s="20" t="s">
        <v>47</v>
      </c>
      <c r="D1276" s="20">
        <v>430</v>
      </c>
      <c r="E1276" s="38">
        <v>1250</v>
      </c>
      <c r="F1276" s="20" t="s">
        <v>8</v>
      </c>
      <c r="G1276" s="43">
        <v>11</v>
      </c>
      <c r="H1276" s="43">
        <v>8.5500000000000007</v>
      </c>
      <c r="I1276" s="43">
        <v>0</v>
      </c>
      <c r="J1276" s="43">
        <v>0</v>
      </c>
      <c r="K1276" s="1">
        <f t="shared" si="2237"/>
        <v>-3062.4999999999991</v>
      </c>
      <c r="L1276" s="43">
        <v>0</v>
      </c>
      <c r="M1276" s="43">
        <v>0</v>
      </c>
      <c r="N1276" s="1">
        <f t="shared" si="2222"/>
        <v>-2.4499999999999993</v>
      </c>
      <c r="O1276" s="1">
        <f t="shared" si="2229"/>
        <v>-3062.4999999999991</v>
      </c>
      <c r="P1276" s="31"/>
      <c r="Q1276" s="31"/>
      <c r="R1276" s="31"/>
      <c r="S1276" s="31"/>
      <c r="T1276" s="31"/>
      <c r="U1276" s="31"/>
      <c r="V1276" s="31"/>
      <c r="W1276" s="31"/>
      <c r="X1276" s="31"/>
      <c r="Y1276" s="31"/>
      <c r="Z1276" s="31"/>
      <c r="AA1276" s="31"/>
      <c r="AB1276" s="31"/>
      <c r="AC1276" s="31"/>
      <c r="AD1276" s="31"/>
      <c r="AE1276" s="31"/>
      <c r="AF1276" s="31"/>
      <c r="AG1276" s="31"/>
    </row>
    <row r="1277" spans="1:33" s="32" customFormat="1" ht="15" customHeight="1">
      <c r="A1277" s="37">
        <v>43663</v>
      </c>
      <c r="B1277" s="20" t="s">
        <v>107</v>
      </c>
      <c r="C1277" s="20" t="s">
        <v>47</v>
      </c>
      <c r="D1277" s="20">
        <v>430</v>
      </c>
      <c r="E1277" s="38">
        <v>1100</v>
      </c>
      <c r="F1277" s="20" t="s">
        <v>8</v>
      </c>
      <c r="G1277" s="43">
        <v>11</v>
      </c>
      <c r="H1277" s="43">
        <v>8</v>
      </c>
      <c r="I1277" s="43">
        <v>0</v>
      </c>
      <c r="J1277" s="43">
        <v>0</v>
      </c>
      <c r="K1277" s="1">
        <f t="shared" si="2237"/>
        <v>-3300</v>
      </c>
      <c r="L1277" s="43">
        <v>0</v>
      </c>
      <c r="M1277" s="43">
        <v>0</v>
      </c>
      <c r="N1277" s="1">
        <f t="shared" si="2222"/>
        <v>-3</v>
      </c>
      <c r="O1277" s="1">
        <f t="shared" si="2229"/>
        <v>-3300</v>
      </c>
      <c r="P1277" s="31"/>
      <c r="Q1277" s="31"/>
      <c r="R1277" s="31"/>
      <c r="S1277" s="31"/>
      <c r="T1277" s="31"/>
      <c r="U1277" s="31"/>
      <c r="V1277" s="31"/>
      <c r="W1277" s="31"/>
      <c r="X1277" s="31"/>
      <c r="Y1277" s="31"/>
      <c r="Z1277" s="31"/>
      <c r="AA1277" s="31"/>
      <c r="AB1277" s="31"/>
      <c r="AC1277" s="31"/>
      <c r="AD1277" s="31"/>
      <c r="AE1277" s="31"/>
      <c r="AF1277" s="31"/>
      <c r="AG1277" s="31"/>
    </row>
    <row r="1278" spans="1:33" s="32" customFormat="1" ht="15" customHeight="1">
      <c r="A1278" s="37">
        <v>43662</v>
      </c>
      <c r="B1278" s="20" t="s">
        <v>435</v>
      </c>
      <c r="C1278" s="20" t="s">
        <v>46</v>
      </c>
      <c r="D1278" s="20">
        <v>600</v>
      </c>
      <c r="E1278" s="38">
        <v>1200</v>
      </c>
      <c r="F1278" s="20" t="s">
        <v>8</v>
      </c>
      <c r="G1278" s="43">
        <v>19</v>
      </c>
      <c r="H1278" s="43">
        <v>21</v>
      </c>
      <c r="I1278" s="43">
        <v>25</v>
      </c>
      <c r="J1278" s="43">
        <v>30</v>
      </c>
      <c r="K1278" s="1">
        <f t="shared" ref="K1278:K1280" si="2238">(IF(F1278="SELL",G1278-H1278,IF(F1278="BUY",H1278-G1278)))*E1278</f>
        <v>2400</v>
      </c>
      <c r="L1278" s="43">
        <f>E1278*4</f>
        <v>4800</v>
      </c>
      <c r="M1278" s="43">
        <f>E1278*5</f>
        <v>6000</v>
      </c>
      <c r="N1278" s="1">
        <f t="shared" si="2222"/>
        <v>11</v>
      </c>
      <c r="O1278" s="1">
        <f t="shared" si="2229"/>
        <v>13200</v>
      </c>
      <c r="P1278" s="31"/>
      <c r="Q1278" s="31"/>
      <c r="R1278" s="31"/>
      <c r="S1278" s="31"/>
      <c r="T1278" s="31"/>
      <c r="U1278" s="31"/>
      <c r="V1278" s="31"/>
      <c r="W1278" s="31"/>
      <c r="X1278" s="31"/>
      <c r="Y1278" s="31"/>
      <c r="Z1278" s="31"/>
      <c r="AA1278" s="31"/>
      <c r="AB1278" s="31"/>
      <c r="AC1278" s="31"/>
      <c r="AD1278" s="31"/>
      <c r="AE1278" s="31"/>
      <c r="AF1278" s="31"/>
      <c r="AG1278" s="31"/>
    </row>
    <row r="1279" spans="1:33" s="32" customFormat="1" ht="15" customHeight="1">
      <c r="A1279" s="37">
        <v>43662</v>
      </c>
      <c r="B1279" s="20" t="s">
        <v>21</v>
      </c>
      <c r="C1279" s="20" t="s">
        <v>47</v>
      </c>
      <c r="D1279" s="20">
        <v>360</v>
      </c>
      <c r="E1279" s="38">
        <v>3000</v>
      </c>
      <c r="F1279" s="20" t="s">
        <v>8</v>
      </c>
      <c r="G1279" s="43">
        <v>6.75</v>
      </c>
      <c r="H1279" s="43">
        <v>7.5</v>
      </c>
      <c r="I1279" s="43">
        <v>8.5</v>
      </c>
      <c r="J1279" s="43">
        <v>0</v>
      </c>
      <c r="K1279" s="1">
        <f t="shared" si="2238"/>
        <v>2250</v>
      </c>
      <c r="L1279" s="43">
        <f>E1279*1</f>
        <v>3000</v>
      </c>
      <c r="M1279" s="43">
        <v>0</v>
      </c>
      <c r="N1279" s="1">
        <f t="shared" si="2222"/>
        <v>1.75</v>
      </c>
      <c r="O1279" s="1">
        <f t="shared" si="2229"/>
        <v>5250</v>
      </c>
      <c r="P1279" s="31"/>
      <c r="Q1279" s="31"/>
      <c r="R1279" s="31"/>
      <c r="S1279" s="31"/>
      <c r="T1279" s="31"/>
      <c r="U1279" s="31"/>
      <c r="V1279" s="31"/>
      <c r="W1279" s="31"/>
      <c r="X1279" s="31"/>
      <c r="Y1279" s="31"/>
      <c r="Z1279" s="31"/>
      <c r="AA1279" s="31"/>
      <c r="AB1279" s="31"/>
      <c r="AC1279" s="31"/>
      <c r="AD1279" s="31"/>
      <c r="AE1279" s="31"/>
      <c r="AF1279" s="31"/>
      <c r="AG1279" s="31"/>
    </row>
    <row r="1280" spans="1:33" s="32" customFormat="1" ht="15" customHeight="1">
      <c r="A1280" s="37">
        <v>43662</v>
      </c>
      <c r="B1280" s="20" t="s">
        <v>17</v>
      </c>
      <c r="C1280" s="20" t="s">
        <v>47</v>
      </c>
      <c r="D1280" s="20">
        <v>760</v>
      </c>
      <c r="E1280" s="38">
        <v>1200</v>
      </c>
      <c r="F1280" s="20" t="s">
        <v>8</v>
      </c>
      <c r="G1280" s="43">
        <v>11.5</v>
      </c>
      <c r="H1280" s="43">
        <v>9.65</v>
      </c>
      <c r="I1280" s="43">
        <v>0</v>
      </c>
      <c r="J1280" s="43">
        <v>0</v>
      </c>
      <c r="K1280" s="1">
        <f t="shared" si="2238"/>
        <v>-2219.9999999999995</v>
      </c>
      <c r="L1280" s="43">
        <v>0</v>
      </c>
      <c r="M1280" s="43">
        <v>0</v>
      </c>
      <c r="N1280" s="1">
        <f t="shared" si="2222"/>
        <v>-1.8499999999999996</v>
      </c>
      <c r="O1280" s="1">
        <f t="shared" si="2229"/>
        <v>-2219.9999999999995</v>
      </c>
      <c r="P1280" s="31"/>
      <c r="Q1280" s="31"/>
      <c r="R1280" s="31"/>
      <c r="S1280" s="31"/>
      <c r="T1280" s="31"/>
      <c r="U1280" s="31"/>
      <c r="V1280" s="31"/>
      <c r="W1280" s="31"/>
      <c r="X1280" s="31"/>
      <c r="Y1280" s="31"/>
      <c r="Z1280" s="31"/>
      <c r="AA1280" s="31"/>
      <c r="AB1280" s="31"/>
      <c r="AC1280" s="31"/>
      <c r="AD1280" s="31"/>
      <c r="AE1280" s="31"/>
      <c r="AF1280" s="31"/>
      <c r="AG1280" s="31"/>
    </row>
    <row r="1281" spans="1:33" s="32" customFormat="1" ht="15" customHeight="1">
      <c r="A1281" s="37">
        <v>43662</v>
      </c>
      <c r="B1281" s="20" t="s">
        <v>22</v>
      </c>
      <c r="C1281" s="20" t="s">
        <v>47</v>
      </c>
      <c r="D1281" s="20">
        <v>190</v>
      </c>
      <c r="E1281" s="38">
        <v>2800</v>
      </c>
      <c r="F1281" s="20" t="s">
        <v>8</v>
      </c>
      <c r="G1281" s="43">
        <v>5</v>
      </c>
      <c r="H1281" s="43">
        <v>3.7</v>
      </c>
      <c r="I1281" s="43">
        <v>0</v>
      </c>
      <c r="J1281" s="43">
        <v>0</v>
      </c>
      <c r="K1281" s="1">
        <f t="shared" ref="K1281" si="2239">(IF(F1281="SELL",G1281-H1281,IF(F1281="BUY",H1281-G1281)))*E1281</f>
        <v>-3639.9999999999995</v>
      </c>
      <c r="L1281" s="43">
        <v>0</v>
      </c>
      <c r="M1281" s="43">
        <v>0</v>
      </c>
      <c r="N1281" s="1">
        <f t="shared" si="2222"/>
        <v>-1.2999999999999998</v>
      </c>
      <c r="O1281" s="1">
        <f t="shared" si="2229"/>
        <v>-3639.9999999999995</v>
      </c>
      <c r="P1281" s="31"/>
      <c r="Q1281" s="31"/>
      <c r="R1281" s="31"/>
      <c r="S1281" s="31"/>
      <c r="T1281" s="31"/>
      <c r="U1281" s="31"/>
      <c r="V1281" s="31"/>
      <c r="W1281" s="31"/>
      <c r="X1281" s="31"/>
      <c r="Y1281" s="31"/>
      <c r="Z1281" s="31"/>
      <c r="AA1281" s="31"/>
      <c r="AB1281" s="31"/>
      <c r="AC1281" s="31"/>
      <c r="AD1281" s="31"/>
      <c r="AE1281" s="31"/>
      <c r="AF1281" s="31"/>
      <c r="AG1281" s="31"/>
    </row>
    <row r="1282" spans="1:33" s="32" customFormat="1" ht="15" customHeight="1">
      <c r="A1282" s="37">
        <v>43661</v>
      </c>
      <c r="B1282" s="20" t="s">
        <v>94</v>
      </c>
      <c r="C1282" s="20" t="s">
        <v>47</v>
      </c>
      <c r="D1282" s="20">
        <v>2000</v>
      </c>
      <c r="E1282" s="38">
        <v>302</v>
      </c>
      <c r="F1282" s="20" t="s">
        <v>8</v>
      </c>
      <c r="G1282" s="43">
        <v>60</v>
      </c>
      <c r="H1282" s="43">
        <v>68</v>
      </c>
      <c r="I1282" s="43">
        <v>76</v>
      </c>
      <c r="J1282" s="43">
        <v>86</v>
      </c>
      <c r="K1282" s="1">
        <f t="shared" ref="K1282" si="2240">(IF(F1282="SELL",G1282-H1282,IF(F1282="BUY",H1282-G1282)))*E1282</f>
        <v>2416</v>
      </c>
      <c r="L1282" s="43">
        <f>E1282*8</f>
        <v>2416</v>
      </c>
      <c r="M1282" s="43">
        <f>E1282*10</f>
        <v>3020</v>
      </c>
      <c r="N1282" s="1">
        <f t="shared" si="2222"/>
        <v>26</v>
      </c>
      <c r="O1282" s="1">
        <f t="shared" si="2229"/>
        <v>7852</v>
      </c>
      <c r="P1282" s="31"/>
      <c r="Q1282" s="31"/>
      <c r="R1282" s="31"/>
      <c r="S1282" s="31"/>
      <c r="T1282" s="31"/>
      <c r="U1282" s="31"/>
      <c r="V1282" s="31"/>
      <c r="W1282" s="31"/>
      <c r="X1282" s="31"/>
      <c r="Y1282" s="31"/>
      <c r="Z1282" s="31"/>
      <c r="AA1282" s="31"/>
      <c r="AB1282" s="31"/>
      <c r="AC1282" s="31"/>
      <c r="AD1282" s="31"/>
      <c r="AE1282" s="31"/>
      <c r="AF1282" s="31"/>
      <c r="AG1282" s="31"/>
    </row>
    <row r="1283" spans="1:33" s="32" customFormat="1" ht="15" customHeight="1">
      <c r="A1283" s="37">
        <v>43661</v>
      </c>
      <c r="B1283" s="20" t="s">
        <v>107</v>
      </c>
      <c r="C1283" s="20" t="s">
        <v>47</v>
      </c>
      <c r="D1283" s="20">
        <v>400</v>
      </c>
      <c r="E1283" s="38">
        <v>1100</v>
      </c>
      <c r="F1283" s="20" t="s">
        <v>8</v>
      </c>
      <c r="G1283" s="43">
        <v>25.5</v>
      </c>
      <c r="H1283" s="43">
        <v>28</v>
      </c>
      <c r="I1283" s="43">
        <v>0</v>
      </c>
      <c r="J1283" s="43">
        <v>0</v>
      </c>
      <c r="K1283" s="1">
        <f t="shared" ref="K1283" si="2241">(IF(F1283="SELL",G1283-H1283,IF(F1283="BUY",H1283-G1283)))*E1283</f>
        <v>2750</v>
      </c>
      <c r="L1283" s="43">
        <v>0</v>
      </c>
      <c r="M1283" s="43">
        <v>0</v>
      </c>
      <c r="N1283" s="1">
        <f t="shared" si="2222"/>
        <v>2.5</v>
      </c>
      <c r="O1283" s="1">
        <f t="shared" si="2229"/>
        <v>2750</v>
      </c>
      <c r="P1283" s="31"/>
      <c r="Q1283" s="31"/>
      <c r="R1283" s="31"/>
      <c r="S1283" s="31"/>
      <c r="T1283" s="31"/>
      <c r="U1283" s="31"/>
      <c r="V1283" s="31"/>
      <c r="W1283" s="31"/>
      <c r="X1283" s="31"/>
      <c r="Y1283" s="31"/>
      <c r="Z1283" s="31"/>
      <c r="AA1283" s="31"/>
      <c r="AB1283" s="31"/>
      <c r="AC1283" s="31"/>
      <c r="AD1283" s="31"/>
      <c r="AE1283" s="31"/>
      <c r="AF1283" s="31"/>
      <c r="AG1283" s="31"/>
    </row>
    <row r="1284" spans="1:33" s="32" customFormat="1" ht="15" customHeight="1">
      <c r="A1284" s="37">
        <v>43661</v>
      </c>
      <c r="B1284" s="20" t="s">
        <v>436</v>
      </c>
      <c r="C1284" s="20" t="s">
        <v>47</v>
      </c>
      <c r="D1284" s="20">
        <v>2500</v>
      </c>
      <c r="E1284" s="38">
        <v>200</v>
      </c>
      <c r="F1284" s="20" t="s">
        <v>8</v>
      </c>
      <c r="G1284" s="43">
        <v>45</v>
      </c>
      <c r="H1284" s="43">
        <v>57</v>
      </c>
      <c r="I1284" s="43">
        <v>69</v>
      </c>
      <c r="J1284" s="43">
        <v>0</v>
      </c>
      <c r="K1284" s="1">
        <f t="shared" ref="K1284" si="2242">(IF(F1284="SELL",G1284-H1284,IF(F1284="BUY",H1284-G1284)))*E1284</f>
        <v>2400</v>
      </c>
      <c r="L1284" s="43">
        <f>E1284*12</f>
        <v>2400</v>
      </c>
      <c r="M1284" s="43">
        <v>0</v>
      </c>
      <c r="N1284" s="1">
        <f t="shared" si="2222"/>
        <v>24</v>
      </c>
      <c r="O1284" s="1">
        <f t="shared" si="2229"/>
        <v>4800</v>
      </c>
      <c r="P1284" s="31"/>
      <c r="Q1284" s="31"/>
      <c r="R1284" s="31"/>
      <c r="S1284" s="31"/>
      <c r="T1284" s="31"/>
      <c r="U1284" s="31"/>
      <c r="V1284" s="31"/>
      <c r="W1284" s="31"/>
      <c r="X1284" s="31"/>
      <c r="Y1284" s="31"/>
      <c r="Z1284" s="31"/>
      <c r="AA1284" s="31"/>
      <c r="AB1284" s="31"/>
      <c r="AC1284" s="31"/>
      <c r="AD1284" s="31"/>
      <c r="AE1284" s="31"/>
      <c r="AF1284" s="31"/>
      <c r="AG1284" s="31"/>
    </row>
    <row r="1285" spans="1:33" s="32" customFormat="1" ht="15" customHeight="1">
      <c r="A1285" s="37">
        <v>43658</v>
      </c>
      <c r="B1285" s="20" t="s">
        <v>24</v>
      </c>
      <c r="C1285" s="20" t="s">
        <v>47</v>
      </c>
      <c r="D1285" s="20">
        <v>160</v>
      </c>
      <c r="E1285" s="38">
        <v>3000</v>
      </c>
      <c r="F1285" s="20" t="s">
        <v>8</v>
      </c>
      <c r="G1285" s="43">
        <v>4.5</v>
      </c>
      <c r="H1285" s="43">
        <v>6</v>
      </c>
      <c r="I1285" s="43">
        <v>0</v>
      </c>
      <c r="J1285" s="43">
        <v>0</v>
      </c>
      <c r="K1285" s="1">
        <f t="shared" ref="K1285" si="2243">(IF(F1285="SELL",G1285-H1285,IF(F1285="BUY",H1285-G1285)))*E1285</f>
        <v>4500</v>
      </c>
      <c r="L1285" s="43">
        <v>0</v>
      </c>
      <c r="M1285" s="43">
        <v>0</v>
      </c>
      <c r="N1285" s="1">
        <f t="shared" si="2222"/>
        <v>1.5</v>
      </c>
      <c r="O1285" s="1">
        <f t="shared" si="2229"/>
        <v>4500</v>
      </c>
      <c r="P1285" s="31"/>
      <c r="Q1285" s="31"/>
      <c r="R1285" s="31"/>
      <c r="S1285" s="31"/>
      <c r="T1285" s="31"/>
      <c r="U1285" s="31"/>
      <c r="V1285" s="31"/>
      <c r="W1285" s="31"/>
      <c r="X1285" s="31"/>
      <c r="Y1285" s="31"/>
      <c r="Z1285" s="31"/>
      <c r="AA1285" s="31"/>
      <c r="AB1285" s="31"/>
      <c r="AC1285" s="31"/>
      <c r="AD1285" s="31"/>
      <c r="AE1285" s="31"/>
      <c r="AF1285" s="31"/>
      <c r="AG1285" s="31"/>
    </row>
    <row r="1286" spans="1:33" s="32" customFormat="1" ht="15" customHeight="1">
      <c r="A1286" s="37">
        <v>43658</v>
      </c>
      <c r="B1286" s="20" t="s">
        <v>296</v>
      </c>
      <c r="C1286" s="20" t="s">
        <v>47</v>
      </c>
      <c r="D1286" s="20">
        <v>1540</v>
      </c>
      <c r="E1286" s="38">
        <v>400</v>
      </c>
      <c r="F1286" s="20" t="s">
        <v>8</v>
      </c>
      <c r="G1286" s="43">
        <v>53</v>
      </c>
      <c r="H1286" s="43">
        <v>47</v>
      </c>
      <c r="I1286" s="43">
        <v>0</v>
      </c>
      <c r="J1286" s="43">
        <v>0</v>
      </c>
      <c r="K1286" s="1">
        <f t="shared" ref="K1286" si="2244">(IF(F1286="SELL",G1286-H1286,IF(F1286="BUY",H1286-G1286)))*E1286</f>
        <v>-2400</v>
      </c>
      <c r="L1286" s="43">
        <v>0</v>
      </c>
      <c r="M1286" s="43">
        <v>0</v>
      </c>
      <c r="N1286" s="1">
        <f t="shared" si="2222"/>
        <v>-6</v>
      </c>
      <c r="O1286" s="1">
        <f t="shared" si="2229"/>
        <v>-2400</v>
      </c>
      <c r="P1286" s="31"/>
      <c r="Q1286" s="31"/>
      <c r="R1286" s="31"/>
      <c r="S1286" s="31"/>
      <c r="T1286" s="31"/>
      <c r="U1286" s="31"/>
      <c r="V1286" s="31"/>
      <c r="W1286" s="31"/>
      <c r="X1286" s="31"/>
      <c r="Y1286" s="31"/>
      <c r="Z1286" s="31"/>
      <c r="AA1286" s="31"/>
      <c r="AB1286" s="31"/>
      <c r="AC1286" s="31"/>
      <c r="AD1286" s="31"/>
      <c r="AE1286" s="31"/>
      <c r="AF1286" s="31"/>
      <c r="AG1286" s="31"/>
    </row>
    <row r="1287" spans="1:33" s="32" customFormat="1" ht="15" customHeight="1">
      <c r="A1287" s="37">
        <v>43657</v>
      </c>
      <c r="B1287" s="20" t="s">
        <v>410</v>
      </c>
      <c r="C1287" s="20" t="s">
        <v>46</v>
      </c>
      <c r="D1287" s="20">
        <v>1400</v>
      </c>
      <c r="E1287" s="38">
        <v>600</v>
      </c>
      <c r="F1287" s="20" t="s">
        <v>8</v>
      </c>
      <c r="G1287" s="43">
        <v>105</v>
      </c>
      <c r="H1287" s="43">
        <v>109</v>
      </c>
      <c r="I1287" s="43">
        <v>113</v>
      </c>
      <c r="J1287" s="43">
        <v>117</v>
      </c>
      <c r="K1287" s="1">
        <f t="shared" ref="K1287" si="2245">(IF(F1287="SELL",G1287-H1287,IF(F1287="BUY",H1287-G1287)))*E1287</f>
        <v>2400</v>
      </c>
      <c r="L1287" s="43">
        <f>E1287*4</f>
        <v>2400</v>
      </c>
      <c r="M1287" s="43">
        <f>E1287*7</f>
        <v>4200</v>
      </c>
      <c r="N1287" s="1">
        <f t="shared" si="2222"/>
        <v>15</v>
      </c>
      <c r="O1287" s="1">
        <f t="shared" si="2229"/>
        <v>9000</v>
      </c>
      <c r="P1287" s="31"/>
      <c r="Q1287" s="31"/>
      <c r="R1287" s="31"/>
      <c r="S1287" s="31"/>
      <c r="T1287" s="31"/>
      <c r="U1287" s="31"/>
      <c r="V1287" s="31"/>
      <c r="W1287" s="31"/>
      <c r="X1287" s="31"/>
      <c r="Y1287" s="31"/>
      <c r="Z1287" s="31"/>
      <c r="AA1287" s="31"/>
      <c r="AB1287" s="31"/>
      <c r="AC1287" s="31"/>
      <c r="AD1287" s="31"/>
      <c r="AE1287" s="31"/>
      <c r="AF1287" s="31"/>
      <c r="AG1287" s="31"/>
    </row>
    <row r="1288" spans="1:33" s="32" customFormat="1" ht="15" customHeight="1">
      <c r="A1288" s="37">
        <v>43657</v>
      </c>
      <c r="B1288" s="20" t="s">
        <v>107</v>
      </c>
      <c r="C1288" s="20" t="s">
        <v>47</v>
      </c>
      <c r="D1288" s="20">
        <v>400</v>
      </c>
      <c r="E1288" s="38">
        <v>1100</v>
      </c>
      <c r="F1288" s="20" t="s">
        <v>8</v>
      </c>
      <c r="G1288" s="43">
        <v>10</v>
      </c>
      <c r="H1288" s="43">
        <v>7.5</v>
      </c>
      <c r="I1288" s="43">
        <v>0</v>
      </c>
      <c r="J1288" s="43">
        <v>0</v>
      </c>
      <c r="K1288" s="1">
        <f t="shared" ref="K1288" si="2246">(IF(F1288="SELL",G1288-H1288,IF(F1288="BUY",H1288-G1288)))*E1288</f>
        <v>-2750</v>
      </c>
      <c r="L1288" s="43">
        <v>0</v>
      </c>
      <c r="M1288" s="43">
        <v>0</v>
      </c>
      <c r="N1288" s="1">
        <f t="shared" si="2222"/>
        <v>-2.5</v>
      </c>
      <c r="O1288" s="1">
        <f t="shared" si="2229"/>
        <v>-2750</v>
      </c>
      <c r="P1288" s="31"/>
      <c r="Q1288" s="31"/>
      <c r="R1288" s="31"/>
      <c r="S1288" s="31"/>
      <c r="T1288" s="31"/>
      <c r="U1288" s="31"/>
      <c r="V1288" s="31"/>
      <c r="W1288" s="31"/>
      <c r="X1288" s="31"/>
      <c r="Y1288" s="31"/>
      <c r="Z1288" s="31"/>
      <c r="AA1288" s="31"/>
      <c r="AB1288" s="31"/>
      <c r="AC1288" s="31"/>
      <c r="AD1288" s="31"/>
      <c r="AE1288" s="31"/>
      <c r="AF1288" s="31"/>
      <c r="AG1288" s="31"/>
    </row>
    <row r="1289" spans="1:33" s="32" customFormat="1" ht="15" customHeight="1">
      <c r="A1289" s="37">
        <v>43656</v>
      </c>
      <c r="B1289" s="20" t="s">
        <v>71</v>
      </c>
      <c r="C1289" s="20" t="s">
        <v>46</v>
      </c>
      <c r="D1289" s="20">
        <v>255</v>
      </c>
      <c r="E1289" s="38">
        <v>2000</v>
      </c>
      <c r="F1289" s="20" t="s">
        <v>8</v>
      </c>
      <c r="G1289" s="43">
        <v>7.5</v>
      </c>
      <c r="H1289" s="43">
        <v>8.5</v>
      </c>
      <c r="I1289" s="43">
        <v>0</v>
      </c>
      <c r="J1289" s="43">
        <v>0</v>
      </c>
      <c r="K1289" s="1">
        <f t="shared" ref="K1289:K1290" si="2247">(IF(F1289="SELL",G1289-H1289,IF(F1289="BUY",H1289-G1289)))*E1289</f>
        <v>2000</v>
      </c>
      <c r="L1289" s="43">
        <v>0</v>
      </c>
      <c r="M1289" s="43">
        <v>0</v>
      </c>
      <c r="N1289" s="1">
        <f t="shared" si="2222"/>
        <v>1</v>
      </c>
      <c r="O1289" s="1">
        <f t="shared" si="2229"/>
        <v>2000</v>
      </c>
      <c r="P1289" s="31"/>
      <c r="Q1289" s="31"/>
      <c r="R1289" s="31"/>
      <c r="S1289" s="31"/>
      <c r="T1289" s="31"/>
      <c r="U1289" s="31"/>
      <c r="V1289" s="31"/>
      <c r="W1289" s="31"/>
      <c r="X1289" s="31"/>
      <c r="Y1289" s="31"/>
      <c r="Z1289" s="31"/>
      <c r="AA1289" s="31"/>
      <c r="AB1289" s="31"/>
      <c r="AC1289" s="31"/>
      <c r="AD1289" s="31"/>
      <c r="AE1289" s="31"/>
      <c r="AF1289" s="31"/>
      <c r="AG1289" s="31"/>
    </row>
    <row r="1290" spans="1:33" s="32" customFormat="1" ht="15" customHeight="1">
      <c r="A1290" s="37">
        <v>43656</v>
      </c>
      <c r="B1290" s="20" t="s">
        <v>107</v>
      </c>
      <c r="C1290" s="20" t="s">
        <v>47</v>
      </c>
      <c r="D1290" s="20">
        <v>360</v>
      </c>
      <c r="E1290" s="38">
        <v>1100</v>
      </c>
      <c r="F1290" s="20" t="s">
        <v>8</v>
      </c>
      <c r="G1290" s="43">
        <v>10</v>
      </c>
      <c r="H1290" s="43">
        <v>6</v>
      </c>
      <c r="I1290" s="43">
        <v>0</v>
      </c>
      <c r="J1290" s="43">
        <v>0</v>
      </c>
      <c r="K1290" s="1">
        <f t="shared" si="2247"/>
        <v>-4400</v>
      </c>
      <c r="L1290" s="43">
        <v>0</v>
      </c>
      <c r="M1290" s="43">
        <v>0</v>
      </c>
      <c r="N1290" s="1">
        <f t="shared" si="2222"/>
        <v>-4</v>
      </c>
      <c r="O1290" s="1">
        <f t="shared" si="2229"/>
        <v>-4400</v>
      </c>
      <c r="P1290" s="31"/>
      <c r="Q1290" s="31"/>
      <c r="R1290" s="31"/>
      <c r="S1290" s="31"/>
      <c r="T1290" s="31"/>
      <c r="U1290" s="31"/>
      <c r="V1290" s="31"/>
      <c r="W1290" s="31"/>
      <c r="X1290" s="31"/>
      <c r="Y1290" s="31"/>
      <c r="Z1290" s="31"/>
      <c r="AA1290" s="31"/>
      <c r="AB1290" s="31"/>
      <c r="AC1290" s="31"/>
      <c r="AD1290" s="31"/>
      <c r="AE1290" s="31"/>
      <c r="AF1290" s="31"/>
      <c r="AG1290" s="31"/>
    </row>
    <row r="1291" spans="1:33" s="32" customFormat="1" ht="15" customHeight="1">
      <c r="A1291" s="37">
        <v>43655</v>
      </c>
      <c r="B1291" s="20" t="s">
        <v>410</v>
      </c>
      <c r="C1291" s="20" t="s">
        <v>46</v>
      </c>
      <c r="D1291" s="20">
        <v>1540</v>
      </c>
      <c r="E1291" s="38">
        <v>600</v>
      </c>
      <c r="F1291" s="20" t="s">
        <v>8</v>
      </c>
      <c r="G1291" s="43">
        <v>51</v>
      </c>
      <c r="H1291" s="43">
        <v>53.5</v>
      </c>
      <c r="I1291" s="43">
        <v>59</v>
      </c>
      <c r="J1291" s="43">
        <v>0</v>
      </c>
      <c r="K1291" s="1">
        <f t="shared" ref="K1291:K1295" si="2248">(IF(F1291="SELL",G1291-H1291,IF(F1291="BUY",H1291-G1291)))*E1291</f>
        <v>1500</v>
      </c>
      <c r="L1291" s="43">
        <f>E1291*5.5</f>
        <v>3300</v>
      </c>
      <c r="M1291" s="43">
        <v>0</v>
      </c>
      <c r="N1291" s="1">
        <f t="shared" si="2222"/>
        <v>8</v>
      </c>
      <c r="O1291" s="1">
        <f t="shared" si="2229"/>
        <v>4800</v>
      </c>
      <c r="P1291" s="31"/>
      <c r="Q1291" s="31"/>
      <c r="R1291" s="31"/>
      <c r="S1291" s="31"/>
      <c r="T1291" s="31"/>
      <c r="U1291" s="31"/>
      <c r="V1291" s="31"/>
      <c r="W1291" s="31"/>
      <c r="X1291" s="31"/>
      <c r="Y1291" s="31"/>
      <c r="Z1291" s="31"/>
      <c r="AA1291" s="31"/>
      <c r="AB1291" s="31"/>
      <c r="AC1291" s="31"/>
      <c r="AD1291" s="31"/>
      <c r="AE1291" s="31"/>
      <c r="AF1291" s="31"/>
      <c r="AG1291" s="31"/>
    </row>
    <row r="1292" spans="1:33" s="32" customFormat="1" ht="15" customHeight="1">
      <c r="A1292" s="37">
        <v>43655</v>
      </c>
      <c r="B1292" s="20" t="s">
        <v>21</v>
      </c>
      <c r="C1292" s="20" t="s">
        <v>47</v>
      </c>
      <c r="D1292" s="20">
        <v>360</v>
      </c>
      <c r="E1292" s="38">
        <v>3000</v>
      </c>
      <c r="F1292" s="20" t="s">
        <v>8</v>
      </c>
      <c r="G1292" s="43">
        <v>7.3</v>
      </c>
      <c r="H1292" s="43">
        <v>8</v>
      </c>
      <c r="I1292" s="43">
        <v>0</v>
      </c>
      <c r="J1292" s="43">
        <v>0</v>
      </c>
      <c r="K1292" s="1">
        <f t="shared" si="2248"/>
        <v>2100.0000000000005</v>
      </c>
      <c r="L1292" s="43">
        <v>0</v>
      </c>
      <c r="M1292" s="43">
        <v>0</v>
      </c>
      <c r="N1292" s="1">
        <f t="shared" si="2222"/>
        <v>0.70000000000000018</v>
      </c>
      <c r="O1292" s="1">
        <f t="shared" si="2229"/>
        <v>2100.0000000000005</v>
      </c>
      <c r="P1292" s="31"/>
      <c r="Q1292" s="31"/>
      <c r="R1292" s="31"/>
      <c r="S1292" s="31"/>
      <c r="T1292" s="31"/>
      <c r="U1292" s="31"/>
      <c r="V1292" s="31"/>
      <c r="W1292" s="31"/>
      <c r="X1292" s="31"/>
      <c r="Y1292" s="31"/>
      <c r="Z1292" s="31"/>
      <c r="AA1292" s="31"/>
      <c r="AB1292" s="31"/>
      <c r="AC1292" s="31"/>
      <c r="AD1292" s="31"/>
      <c r="AE1292" s="31"/>
      <c r="AF1292" s="31"/>
      <c r="AG1292" s="31"/>
    </row>
    <row r="1293" spans="1:33" s="32" customFormat="1" ht="15" customHeight="1">
      <c r="A1293" s="37">
        <v>43655</v>
      </c>
      <c r="B1293" s="20" t="s">
        <v>404</v>
      </c>
      <c r="C1293" s="20" t="s">
        <v>46</v>
      </c>
      <c r="D1293" s="20">
        <v>150</v>
      </c>
      <c r="E1293" s="38">
        <v>6000</v>
      </c>
      <c r="F1293" s="20" t="s">
        <v>8</v>
      </c>
      <c r="G1293" s="43">
        <v>7.15</v>
      </c>
      <c r="H1293" s="43">
        <v>7.55</v>
      </c>
      <c r="I1293" s="43">
        <v>8.3000000000000007</v>
      </c>
      <c r="J1293" s="43">
        <v>0</v>
      </c>
      <c r="K1293" s="1">
        <f t="shared" si="2248"/>
        <v>2399.9999999999968</v>
      </c>
      <c r="L1293" s="43">
        <f>E1293*0.75</f>
        <v>4500</v>
      </c>
      <c r="M1293" s="43">
        <v>0</v>
      </c>
      <c r="N1293" s="1">
        <f t="shared" si="2222"/>
        <v>1.1499999999999995</v>
      </c>
      <c r="O1293" s="1">
        <f t="shared" si="2229"/>
        <v>6899.9999999999964</v>
      </c>
      <c r="P1293" s="31"/>
      <c r="Q1293" s="31"/>
      <c r="R1293" s="31"/>
      <c r="S1293" s="31"/>
      <c r="T1293" s="31"/>
      <c r="U1293" s="31"/>
      <c r="V1293" s="31"/>
      <c r="W1293" s="31"/>
      <c r="X1293" s="31"/>
      <c r="Y1293" s="31"/>
      <c r="Z1293" s="31"/>
      <c r="AA1293" s="31"/>
      <c r="AB1293" s="31"/>
      <c r="AC1293" s="31"/>
      <c r="AD1293" s="31"/>
      <c r="AE1293" s="31"/>
      <c r="AF1293" s="31"/>
      <c r="AG1293" s="31"/>
    </row>
    <row r="1294" spans="1:33" s="32" customFormat="1" ht="15" customHeight="1">
      <c r="A1294" s="37">
        <v>43655</v>
      </c>
      <c r="B1294" s="20" t="s">
        <v>86</v>
      </c>
      <c r="C1294" s="20" t="s">
        <v>47</v>
      </c>
      <c r="D1294" s="20">
        <v>3600</v>
      </c>
      <c r="E1294" s="38">
        <v>250</v>
      </c>
      <c r="F1294" s="20" t="s">
        <v>8</v>
      </c>
      <c r="G1294" s="43">
        <v>112</v>
      </c>
      <c r="H1294" s="43">
        <v>120</v>
      </c>
      <c r="I1294" s="43">
        <v>0</v>
      </c>
      <c r="J1294" s="43">
        <v>0</v>
      </c>
      <c r="K1294" s="1">
        <f t="shared" si="2248"/>
        <v>2000</v>
      </c>
      <c r="L1294" s="43">
        <v>0</v>
      </c>
      <c r="M1294" s="43">
        <v>0</v>
      </c>
      <c r="N1294" s="1">
        <f t="shared" si="2222"/>
        <v>8</v>
      </c>
      <c r="O1294" s="1">
        <f t="shared" si="2229"/>
        <v>2000</v>
      </c>
      <c r="P1294" s="31"/>
      <c r="Q1294" s="31"/>
      <c r="R1294" s="31"/>
      <c r="S1294" s="31"/>
      <c r="T1294" s="31"/>
      <c r="U1294" s="31"/>
      <c r="V1294" s="31"/>
      <c r="W1294" s="31"/>
      <c r="X1294" s="31"/>
      <c r="Y1294" s="31"/>
      <c r="Z1294" s="31"/>
      <c r="AA1294" s="31"/>
      <c r="AB1294" s="31"/>
      <c r="AC1294" s="31"/>
      <c r="AD1294" s="31"/>
      <c r="AE1294" s="31"/>
      <c r="AF1294" s="31"/>
      <c r="AG1294" s="31"/>
    </row>
    <row r="1295" spans="1:33" s="32" customFormat="1" ht="15" customHeight="1">
      <c r="A1295" s="37">
        <v>43655</v>
      </c>
      <c r="B1295" s="20" t="s">
        <v>26</v>
      </c>
      <c r="C1295" s="20" t="s">
        <v>46</v>
      </c>
      <c r="D1295" s="20">
        <v>460</v>
      </c>
      <c r="E1295" s="38">
        <v>1061</v>
      </c>
      <c r="F1295" s="20" t="s">
        <v>8</v>
      </c>
      <c r="G1295" s="43">
        <v>12</v>
      </c>
      <c r="H1295" s="43">
        <v>9.8000000000000007</v>
      </c>
      <c r="I1295" s="43">
        <v>0</v>
      </c>
      <c r="J1295" s="43">
        <v>0</v>
      </c>
      <c r="K1295" s="1">
        <f t="shared" si="2248"/>
        <v>-2334.1999999999994</v>
      </c>
      <c r="L1295" s="43">
        <v>0</v>
      </c>
      <c r="M1295" s="43">
        <v>0</v>
      </c>
      <c r="N1295" s="1">
        <f t="shared" si="2222"/>
        <v>-2.1999999999999993</v>
      </c>
      <c r="O1295" s="1">
        <f t="shared" si="2229"/>
        <v>-2334.1999999999994</v>
      </c>
      <c r="P1295" s="31"/>
      <c r="Q1295" s="31"/>
      <c r="R1295" s="31"/>
      <c r="S1295" s="31"/>
      <c r="T1295" s="31"/>
      <c r="U1295" s="31"/>
      <c r="V1295" s="31"/>
      <c r="W1295" s="31"/>
      <c r="X1295" s="31"/>
      <c r="Y1295" s="31"/>
      <c r="Z1295" s="31"/>
      <c r="AA1295" s="31"/>
      <c r="AB1295" s="31"/>
      <c r="AC1295" s="31"/>
      <c r="AD1295" s="31"/>
      <c r="AE1295" s="31"/>
      <c r="AF1295" s="31"/>
      <c r="AG1295" s="31"/>
    </row>
    <row r="1296" spans="1:33" s="32" customFormat="1" ht="15" customHeight="1">
      <c r="A1296" s="37">
        <v>43654</v>
      </c>
      <c r="B1296" s="20" t="s">
        <v>421</v>
      </c>
      <c r="C1296" s="20" t="s">
        <v>46</v>
      </c>
      <c r="D1296" s="20">
        <v>360</v>
      </c>
      <c r="E1296" s="38">
        <v>3000</v>
      </c>
      <c r="F1296" s="20" t="s">
        <v>8</v>
      </c>
      <c r="G1296" s="43">
        <v>7</v>
      </c>
      <c r="H1296" s="43">
        <v>7.75</v>
      </c>
      <c r="I1296" s="43">
        <v>9</v>
      </c>
      <c r="J1296" s="43">
        <v>0</v>
      </c>
      <c r="K1296" s="1">
        <f t="shared" ref="K1296:K1299" si="2249">(IF(F1296="SELL",G1296-H1296,IF(F1296="BUY",H1296-G1296)))*E1296</f>
        <v>2250</v>
      </c>
      <c r="L1296" s="43">
        <f>E1296*1.25</f>
        <v>3750</v>
      </c>
      <c r="M1296" s="43">
        <v>0</v>
      </c>
      <c r="N1296" s="1">
        <f t="shared" si="2222"/>
        <v>2</v>
      </c>
      <c r="O1296" s="1">
        <f t="shared" si="2229"/>
        <v>6000</v>
      </c>
      <c r="P1296" s="31"/>
      <c r="Q1296" s="31"/>
      <c r="R1296" s="31"/>
      <c r="S1296" s="31"/>
      <c r="T1296" s="31"/>
      <c r="U1296" s="31"/>
      <c r="V1296" s="31"/>
      <c r="W1296" s="31"/>
      <c r="X1296" s="31"/>
      <c r="Y1296" s="31"/>
      <c r="Z1296" s="31"/>
      <c r="AA1296" s="31"/>
      <c r="AB1296" s="31"/>
      <c r="AC1296" s="31"/>
      <c r="AD1296" s="31"/>
      <c r="AE1296" s="31"/>
      <c r="AF1296" s="31"/>
      <c r="AG1296" s="31"/>
    </row>
    <row r="1297" spans="1:33" s="32" customFormat="1" ht="15" customHeight="1">
      <c r="A1297" s="37">
        <v>43654</v>
      </c>
      <c r="B1297" s="20" t="s">
        <v>36</v>
      </c>
      <c r="C1297" s="20" t="s">
        <v>46</v>
      </c>
      <c r="D1297" s="20">
        <v>150</v>
      </c>
      <c r="E1297" s="38">
        <v>3500</v>
      </c>
      <c r="F1297" s="20" t="s">
        <v>8</v>
      </c>
      <c r="G1297" s="43">
        <v>5</v>
      </c>
      <c r="H1297" s="43">
        <v>5.8</v>
      </c>
      <c r="I1297" s="43">
        <v>7</v>
      </c>
      <c r="J1297" s="43">
        <v>0</v>
      </c>
      <c r="K1297" s="1">
        <f t="shared" si="2249"/>
        <v>2799.9999999999995</v>
      </c>
      <c r="L1297" s="43">
        <f>E1297*1.2</f>
        <v>4200</v>
      </c>
      <c r="M1297" s="43">
        <v>0</v>
      </c>
      <c r="N1297" s="1">
        <f t="shared" si="2222"/>
        <v>2</v>
      </c>
      <c r="O1297" s="1">
        <f t="shared" si="2229"/>
        <v>7000</v>
      </c>
      <c r="P1297" s="31"/>
      <c r="Q1297" s="31"/>
      <c r="R1297" s="31"/>
      <c r="S1297" s="31"/>
      <c r="T1297" s="31"/>
      <c r="U1297" s="31"/>
      <c r="V1297" s="31"/>
      <c r="W1297" s="31"/>
      <c r="X1297" s="31"/>
      <c r="Y1297" s="31"/>
      <c r="Z1297" s="31"/>
      <c r="AA1297" s="31"/>
      <c r="AB1297" s="31"/>
      <c r="AC1297" s="31"/>
      <c r="AD1297" s="31"/>
      <c r="AE1297" s="31"/>
      <c r="AF1297" s="31"/>
      <c r="AG1297" s="31"/>
    </row>
    <row r="1298" spans="1:33" s="32" customFormat="1" ht="15" customHeight="1">
      <c r="A1298" s="37">
        <v>43654</v>
      </c>
      <c r="B1298" s="20" t="s">
        <v>435</v>
      </c>
      <c r="C1298" s="20" t="s">
        <v>47</v>
      </c>
      <c r="D1298" s="20">
        <v>640</v>
      </c>
      <c r="E1298" s="38">
        <v>1200</v>
      </c>
      <c r="F1298" s="20" t="s">
        <v>8</v>
      </c>
      <c r="G1298" s="43">
        <v>16.5</v>
      </c>
      <c r="H1298" s="43">
        <v>17.8</v>
      </c>
      <c r="I1298" s="43">
        <v>0</v>
      </c>
      <c r="J1298" s="43">
        <v>0</v>
      </c>
      <c r="K1298" s="1">
        <f t="shared" si="2249"/>
        <v>1560.0000000000009</v>
      </c>
      <c r="L1298" s="43">
        <v>0</v>
      </c>
      <c r="M1298" s="43">
        <v>0</v>
      </c>
      <c r="N1298" s="1">
        <f t="shared" si="2222"/>
        <v>1.3000000000000007</v>
      </c>
      <c r="O1298" s="1">
        <f t="shared" si="2229"/>
        <v>1560.0000000000009</v>
      </c>
      <c r="P1298" s="31"/>
      <c r="Q1298" s="31"/>
      <c r="R1298" s="31"/>
      <c r="S1298" s="31"/>
      <c r="T1298" s="31"/>
      <c r="U1298" s="31"/>
      <c r="V1298" s="31"/>
      <c r="W1298" s="31"/>
      <c r="X1298" s="31"/>
      <c r="Y1298" s="31"/>
      <c r="Z1298" s="31"/>
      <c r="AA1298" s="31"/>
      <c r="AB1298" s="31"/>
      <c r="AC1298" s="31"/>
      <c r="AD1298" s="31"/>
      <c r="AE1298" s="31"/>
      <c r="AF1298" s="31"/>
      <c r="AG1298" s="31"/>
    </row>
    <row r="1299" spans="1:33" s="32" customFormat="1" ht="15" customHeight="1">
      <c r="A1299" s="37">
        <v>43654</v>
      </c>
      <c r="B1299" s="20" t="s">
        <v>100</v>
      </c>
      <c r="C1299" s="20" t="s">
        <v>46</v>
      </c>
      <c r="D1299" s="20">
        <v>2950</v>
      </c>
      <c r="E1299" s="38">
        <v>250</v>
      </c>
      <c r="F1299" s="20" t="s">
        <v>8</v>
      </c>
      <c r="G1299" s="43">
        <v>95</v>
      </c>
      <c r="H1299" s="43">
        <v>85</v>
      </c>
      <c r="I1299" s="43">
        <v>0</v>
      </c>
      <c r="J1299" s="43">
        <v>0</v>
      </c>
      <c r="K1299" s="1">
        <f t="shared" si="2249"/>
        <v>-2500</v>
      </c>
      <c r="L1299" s="43">
        <v>0</v>
      </c>
      <c r="M1299" s="43">
        <v>0</v>
      </c>
      <c r="N1299" s="1">
        <f t="shared" si="2222"/>
        <v>-10</v>
      </c>
      <c r="O1299" s="1">
        <f t="shared" si="2229"/>
        <v>-2500</v>
      </c>
      <c r="P1299" s="31"/>
      <c r="Q1299" s="31"/>
      <c r="R1299" s="31"/>
      <c r="S1299" s="31"/>
      <c r="T1299" s="31"/>
      <c r="U1299" s="31"/>
      <c r="V1299" s="31"/>
      <c r="W1299" s="31"/>
      <c r="X1299" s="31"/>
      <c r="Y1299" s="31"/>
      <c r="Z1299" s="31"/>
      <c r="AA1299" s="31"/>
      <c r="AB1299" s="31"/>
      <c r="AC1299" s="31"/>
      <c r="AD1299" s="31"/>
      <c r="AE1299" s="31"/>
      <c r="AF1299" s="31"/>
      <c r="AG1299" s="31"/>
    </row>
    <row r="1300" spans="1:33" s="32" customFormat="1" ht="15" customHeight="1">
      <c r="A1300" s="37">
        <v>43651</v>
      </c>
      <c r="B1300" s="20" t="s">
        <v>36</v>
      </c>
      <c r="C1300" s="20" t="s">
        <v>46</v>
      </c>
      <c r="D1300" s="20">
        <v>155</v>
      </c>
      <c r="E1300" s="38">
        <v>3500</v>
      </c>
      <c r="F1300" s="20" t="s">
        <v>8</v>
      </c>
      <c r="G1300" s="43">
        <v>5</v>
      </c>
      <c r="H1300" s="43">
        <v>5.75</v>
      </c>
      <c r="I1300" s="43">
        <v>7</v>
      </c>
      <c r="J1300" s="43">
        <v>0</v>
      </c>
      <c r="K1300" s="1">
        <f t="shared" ref="K1300:K1304" si="2250">(IF(F1300="SELL",G1300-H1300,IF(F1300="BUY",H1300-G1300)))*E1300</f>
        <v>2625</v>
      </c>
      <c r="L1300" s="43">
        <f>E1300*1.25</f>
        <v>4375</v>
      </c>
      <c r="M1300" s="43">
        <v>0</v>
      </c>
      <c r="N1300" s="1">
        <f t="shared" si="2222"/>
        <v>2</v>
      </c>
      <c r="O1300" s="1">
        <f t="shared" si="2229"/>
        <v>7000</v>
      </c>
      <c r="P1300" s="31"/>
      <c r="Q1300" s="31"/>
      <c r="R1300" s="31"/>
      <c r="S1300" s="31"/>
      <c r="T1300" s="31"/>
      <c r="U1300" s="31"/>
      <c r="V1300" s="31"/>
      <c r="W1300" s="31"/>
      <c r="X1300" s="31"/>
      <c r="Y1300" s="31"/>
      <c r="Z1300" s="31"/>
      <c r="AA1300" s="31"/>
      <c r="AB1300" s="31"/>
      <c r="AC1300" s="31"/>
      <c r="AD1300" s="31"/>
      <c r="AE1300" s="31"/>
      <c r="AF1300" s="31"/>
      <c r="AG1300" s="31"/>
    </row>
    <row r="1301" spans="1:33" s="32" customFormat="1" ht="15" customHeight="1">
      <c r="A1301" s="37">
        <v>43651</v>
      </c>
      <c r="B1301" s="20" t="s">
        <v>54</v>
      </c>
      <c r="C1301" s="20" t="s">
        <v>46</v>
      </c>
      <c r="D1301" s="20">
        <v>500</v>
      </c>
      <c r="E1301" s="38">
        <v>1000</v>
      </c>
      <c r="F1301" s="20" t="s">
        <v>8</v>
      </c>
      <c r="G1301" s="43">
        <v>22</v>
      </c>
      <c r="H1301" s="43">
        <v>23.5</v>
      </c>
      <c r="I1301" s="43">
        <v>26.5</v>
      </c>
      <c r="J1301" s="43">
        <v>0</v>
      </c>
      <c r="K1301" s="1">
        <f t="shared" si="2250"/>
        <v>1500</v>
      </c>
      <c r="L1301" s="43">
        <f>E1301*3</f>
        <v>3000</v>
      </c>
      <c r="M1301" s="43">
        <v>0</v>
      </c>
      <c r="N1301" s="1">
        <f t="shared" ref="N1301:N1364" si="2251">(L1301+K1301+M1301)/E1301</f>
        <v>4.5</v>
      </c>
      <c r="O1301" s="1">
        <f t="shared" si="2229"/>
        <v>4500</v>
      </c>
      <c r="P1301" s="31"/>
      <c r="Q1301" s="31"/>
      <c r="R1301" s="31"/>
      <c r="S1301" s="31"/>
      <c r="T1301" s="31"/>
      <c r="U1301" s="31"/>
      <c r="V1301" s="31"/>
      <c r="W1301" s="31"/>
      <c r="X1301" s="31"/>
      <c r="Y1301" s="31"/>
      <c r="Z1301" s="31"/>
      <c r="AA1301" s="31"/>
      <c r="AB1301" s="31"/>
      <c r="AC1301" s="31"/>
      <c r="AD1301" s="31"/>
      <c r="AE1301" s="31"/>
      <c r="AF1301" s="31"/>
      <c r="AG1301" s="31"/>
    </row>
    <row r="1302" spans="1:33" s="32" customFormat="1" ht="15" customHeight="1">
      <c r="A1302" s="37">
        <v>43651</v>
      </c>
      <c r="B1302" s="20" t="s">
        <v>434</v>
      </c>
      <c r="C1302" s="20" t="s">
        <v>46</v>
      </c>
      <c r="D1302" s="20">
        <v>1900</v>
      </c>
      <c r="E1302" s="38">
        <v>302</v>
      </c>
      <c r="F1302" s="20" t="s">
        <v>8</v>
      </c>
      <c r="G1302" s="43">
        <v>95</v>
      </c>
      <c r="H1302" s="43">
        <v>80</v>
      </c>
      <c r="I1302" s="43">
        <v>0</v>
      </c>
      <c r="J1302" s="43">
        <v>0</v>
      </c>
      <c r="K1302" s="1">
        <f t="shared" si="2250"/>
        <v>-4530</v>
      </c>
      <c r="L1302" s="43">
        <v>0</v>
      </c>
      <c r="M1302" s="43">
        <v>0</v>
      </c>
      <c r="N1302" s="1">
        <f t="shared" si="2251"/>
        <v>-15</v>
      </c>
      <c r="O1302" s="1">
        <f t="shared" si="2229"/>
        <v>-4530</v>
      </c>
      <c r="P1302" s="31"/>
      <c r="Q1302" s="31"/>
      <c r="R1302" s="31"/>
      <c r="S1302" s="31"/>
      <c r="T1302" s="31"/>
      <c r="U1302" s="31"/>
      <c r="V1302" s="31"/>
      <c r="W1302" s="31"/>
      <c r="X1302" s="31"/>
      <c r="Y1302" s="31"/>
      <c r="Z1302" s="31"/>
      <c r="AA1302" s="31"/>
      <c r="AB1302" s="31"/>
      <c r="AC1302" s="31"/>
      <c r="AD1302" s="31"/>
      <c r="AE1302" s="31"/>
      <c r="AF1302" s="31"/>
      <c r="AG1302" s="31"/>
    </row>
    <row r="1303" spans="1:33" s="32" customFormat="1" ht="15" customHeight="1">
      <c r="A1303" s="37">
        <v>43651</v>
      </c>
      <c r="B1303" s="20" t="s">
        <v>427</v>
      </c>
      <c r="C1303" s="20" t="s">
        <v>47</v>
      </c>
      <c r="D1303" s="20">
        <v>1700</v>
      </c>
      <c r="E1303" s="38">
        <v>400</v>
      </c>
      <c r="F1303" s="20" t="s">
        <v>8</v>
      </c>
      <c r="G1303" s="43">
        <v>47.5</v>
      </c>
      <c r="H1303" s="43">
        <v>35</v>
      </c>
      <c r="I1303" s="43">
        <v>0</v>
      </c>
      <c r="J1303" s="43">
        <v>0</v>
      </c>
      <c r="K1303" s="1">
        <f t="shared" si="2250"/>
        <v>-5000</v>
      </c>
      <c r="L1303" s="43">
        <v>0</v>
      </c>
      <c r="M1303" s="43">
        <v>0</v>
      </c>
      <c r="N1303" s="1">
        <f t="shared" si="2251"/>
        <v>-12.5</v>
      </c>
      <c r="O1303" s="1">
        <f t="shared" si="2229"/>
        <v>-5000</v>
      </c>
      <c r="P1303" s="31"/>
      <c r="Q1303" s="31"/>
      <c r="R1303" s="31"/>
      <c r="S1303" s="31"/>
      <c r="T1303" s="31"/>
      <c r="U1303" s="31"/>
      <c r="V1303" s="31"/>
      <c r="W1303" s="31"/>
      <c r="X1303" s="31"/>
      <c r="Y1303" s="31"/>
      <c r="Z1303" s="31"/>
      <c r="AA1303" s="31"/>
      <c r="AB1303" s="31"/>
      <c r="AC1303" s="31"/>
      <c r="AD1303" s="31"/>
      <c r="AE1303" s="31"/>
      <c r="AF1303" s="31"/>
      <c r="AG1303" s="31"/>
    </row>
    <row r="1304" spans="1:33" s="32" customFormat="1" ht="15" customHeight="1">
      <c r="A1304" s="37">
        <v>43651</v>
      </c>
      <c r="B1304" s="20" t="s">
        <v>71</v>
      </c>
      <c r="C1304" s="20" t="s">
        <v>47</v>
      </c>
      <c r="D1304" s="20">
        <v>275</v>
      </c>
      <c r="E1304" s="38">
        <v>2000</v>
      </c>
      <c r="F1304" s="20" t="s">
        <v>8</v>
      </c>
      <c r="G1304" s="43">
        <v>9</v>
      </c>
      <c r="H1304" s="43">
        <v>6.5</v>
      </c>
      <c r="I1304" s="43">
        <v>0</v>
      </c>
      <c r="J1304" s="43">
        <v>0</v>
      </c>
      <c r="K1304" s="1">
        <f t="shared" si="2250"/>
        <v>-5000</v>
      </c>
      <c r="L1304" s="43">
        <v>0</v>
      </c>
      <c r="M1304" s="43">
        <v>0</v>
      </c>
      <c r="N1304" s="1">
        <f t="shared" si="2251"/>
        <v>-2.5</v>
      </c>
      <c r="O1304" s="1">
        <f t="shared" si="2229"/>
        <v>-5000</v>
      </c>
      <c r="P1304" s="31"/>
      <c r="Q1304" s="31"/>
      <c r="R1304" s="31"/>
      <c r="S1304" s="31"/>
      <c r="T1304" s="31"/>
      <c r="U1304" s="31"/>
      <c r="V1304" s="31"/>
      <c r="W1304" s="31"/>
      <c r="X1304" s="31"/>
      <c r="Y1304" s="31"/>
      <c r="Z1304" s="31"/>
      <c r="AA1304" s="31"/>
      <c r="AB1304" s="31"/>
      <c r="AC1304" s="31"/>
      <c r="AD1304" s="31"/>
      <c r="AE1304" s="31"/>
      <c r="AF1304" s="31"/>
      <c r="AG1304" s="31"/>
    </row>
    <row r="1305" spans="1:33" s="32" customFormat="1" ht="15" customHeight="1">
      <c r="A1305" s="37">
        <v>43650</v>
      </c>
      <c r="B1305" s="20" t="s">
        <v>121</v>
      </c>
      <c r="C1305" s="20" t="s">
        <v>47</v>
      </c>
      <c r="D1305" s="20">
        <v>760</v>
      </c>
      <c r="E1305" s="38">
        <v>800</v>
      </c>
      <c r="F1305" s="20" t="s">
        <v>8</v>
      </c>
      <c r="G1305" s="43">
        <v>31</v>
      </c>
      <c r="H1305" s="43">
        <v>33</v>
      </c>
      <c r="I1305" s="43">
        <v>0</v>
      </c>
      <c r="J1305" s="43">
        <v>0</v>
      </c>
      <c r="K1305" s="1">
        <f t="shared" ref="K1305:K1307" si="2252">(IF(F1305="SELL",G1305-H1305,IF(F1305="BUY",H1305-G1305)))*E1305</f>
        <v>1600</v>
      </c>
      <c r="L1305" s="43">
        <v>0</v>
      </c>
      <c r="M1305" s="43">
        <v>0</v>
      </c>
      <c r="N1305" s="1">
        <f t="shared" si="2251"/>
        <v>2</v>
      </c>
      <c r="O1305" s="1">
        <f t="shared" si="2229"/>
        <v>1600</v>
      </c>
      <c r="P1305" s="31"/>
      <c r="Q1305" s="31"/>
      <c r="R1305" s="31"/>
      <c r="S1305" s="31"/>
      <c r="T1305" s="31"/>
      <c r="U1305" s="31"/>
      <c r="V1305" s="31"/>
      <c r="W1305" s="31"/>
      <c r="X1305" s="31"/>
      <c r="Y1305" s="31"/>
      <c r="Z1305" s="31"/>
      <c r="AA1305" s="31"/>
      <c r="AB1305" s="31"/>
      <c r="AC1305" s="31"/>
      <c r="AD1305" s="31"/>
      <c r="AE1305" s="31"/>
      <c r="AF1305" s="31"/>
      <c r="AG1305" s="31"/>
    </row>
    <row r="1306" spans="1:33" s="32" customFormat="1" ht="15" customHeight="1">
      <c r="A1306" s="37">
        <v>43650</v>
      </c>
      <c r="B1306" s="20" t="s">
        <v>428</v>
      </c>
      <c r="C1306" s="20" t="s">
        <v>47</v>
      </c>
      <c r="D1306" s="20">
        <v>1500</v>
      </c>
      <c r="E1306" s="38">
        <v>400</v>
      </c>
      <c r="F1306" s="20" t="s">
        <v>8</v>
      </c>
      <c r="G1306" s="43">
        <v>45</v>
      </c>
      <c r="H1306" s="43">
        <v>51</v>
      </c>
      <c r="I1306" s="43">
        <v>0</v>
      </c>
      <c r="J1306" s="43">
        <v>0</v>
      </c>
      <c r="K1306" s="1">
        <f t="shared" si="2252"/>
        <v>2400</v>
      </c>
      <c r="L1306" s="43">
        <v>0</v>
      </c>
      <c r="M1306" s="43">
        <v>0</v>
      </c>
      <c r="N1306" s="1">
        <f t="shared" si="2251"/>
        <v>6</v>
      </c>
      <c r="O1306" s="1">
        <f t="shared" si="2229"/>
        <v>2400</v>
      </c>
      <c r="P1306" s="31"/>
      <c r="Q1306" s="31"/>
      <c r="R1306" s="31"/>
      <c r="S1306" s="31"/>
      <c r="T1306" s="31"/>
      <c r="U1306" s="31"/>
      <c r="V1306" s="31"/>
      <c r="W1306" s="31"/>
      <c r="X1306" s="31"/>
      <c r="Y1306" s="31"/>
      <c r="Z1306" s="31"/>
      <c r="AA1306" s="31"/>
      <c r="AB1306" s="31"/>
      <c r="AC1306" s="31"/>
      <c r="AD1306" s="31"/>
      <c r="AE1306" s="31"/>
      <c r="AF1306" s="31"/>
      <c r="AG1306" s="31"/>
    </row>
    <row r="1307" spans="1:33" s="32" customFormat="1" ht="15" customHeight="1">
      <c r="A1307" s="37">
        <v>43650</v>
      </c>
      <c r="B1307" s="20" t="s">
        <v>21</v>
      </c>
      <c r="C1307" s="20" t="s">
        <v>47</v>
      </c>
      <c r="D1307" s="20">
        <v>365</v>
      </c>
      <c r="E1307" s="38">
        <v>3000</v>
      </c>
      <c r="F1307" s="20" t="s">
        <v>8</v>
      </c>
      <c r="G1307" s="43">
        <v>12.25</v>
      </c>
      <c r="H1307" s="43">
        <v>13</v>
      </c>
      <c r="I1307" s="43">
        <v>0</v>
      </c>
      <c r="J1307" s="43">
        <v>0</v>
      </c>
      <c r="K1307" s="1">
        <f t="shared" si="2252"/>
        <v>2250</v>
      </c>
      <c r="L1307" s="43">
        <v>0</v>
      </c>
      <c r="M1307" s="43">
        <v>0</v>
      </c>
      <c r="N1307" s="1">
        <f t="shared" si="2251"/>
        <v>0.75</v>
      </c>
      <c r="O1307" s="1">
        <f t="shared" si="2229"/>
        <v>2250</v>
      </c>
      <c r="P1307" s="31"/>
      <c r="Q1307" s="31"/>
      <c r="R1307" s="31"/>
      <c r="S1307" s="31"/>
      <c r="T1307" s="31"/>
      <c r="U1307" s="31"/>
      <c r="V1307" s="31"/>
      <c r="W1307" s="31"/>
      <c r="X1307" s="31"/>
      <c r="Y1307" s="31"/>
      <c r="Z1307" s="31"/>
      <c r="AA1307" s="31"/>
      <c r="AB1307" s="31"/>
      <c r="AC1307" s="31"/>
      <c r="AD1307" s="31"/>
      <c r="AE1307" s="31"/>
      <c r="AF1307" s="31"/>
      <c r="AG1307" s="31"/>
    </row>
    <row r="1308" spans="1:33" s="32" customFormat="1" ht="15" customHeight="1">
      <c r="A1308" s="37">
        <v>43649</v>
      </c>
      <c r="B1308" s="20" t="s">
        <v>413</v>
      </c>
      <c r="C1308" s="20" t="s">
        <v>47</v>
      </c>
      <c r="D1308" s="20">
        <v>640</v>
      </c>
      <c r="E1308" s="38">
        <v>800</v>
      </c>
      <c r="F1308" s="20" t="s">
        <v>8</v>
      </c>
      <c r="G1308" s="43">
        <v>51</v>
      </c>
      <c r="H1308" s="43">
        <v>54</v>
      </c>
      <c r="I1308" s="43">
        <v>58</v>
      </c>
      <c r="J1308" s="43">
        <v>65</v>
      </c>
      <c r="K1308" s="1">
        <f t="shared" ref="K1308:K1311" si="2253">(IF(F1308="SELL",G1308-H1308,IF(F1308="BUY",H1308-G1308)))*E1308</f>
        <v>2400</v>
      </c>
      <c r="L1308" s="43">
        <f>E1308*4</f>
        <v>3200</v>
      </c>
      <c r="M1308" s="43">
        <f>E1308*7</f>
        <v>5600</v>
      </c>
      <c r="N1308" s="1">
        <f t="shared" si="2251"/>
        <v>14</v>
      </c>
      <c r="O1308" s="1">
        <f t="shared" si="2229"/>
        <v>11200</v>
      </c>
      <c r="P1308" s="31"/>
      <c r="Q1308" s="31"/>
      <c r="R1308" s="31"/>
      <c r="S1308" s="31"/>
      <c r="T1308" s="31"/>
      <c r="U1308" s="31"/>
      <c r="V1308" s="31"/>
      <c r="W1308" s="31"/>
      <c r="X1308" s="31"/>
      <c r="Y1308" s="31"/>
      <c r="Z1308" s="31"/>
      <c r="AA1308" s="31"/>
      <c r="AB1308" s="31"/>
      <c r="AC1308" s="31"/>
      <c r="AD1308" s="31"/>
      <c r="AE1308" s="31"/>
      <c r="AF1308" s="31"/>
      <c r="AG1308" s="31"/>
    </row>
    <row r="1309" spans="1:33" s="32" customFormat="1" ht="15" customHeight="1">
      <c r="A1309" s="37">
        <v>43649</v>
      </c>
      <c r="B1309" s="20" t="s">
        <v>21</v>
      </c>
      <c r="C1309" s="20" t="s">
        <v>47</v>
      </c>
      <c r="D1309" s="20">
        <v>360</v>
      </c>
      <c r="E1309" s="38">
        <v>3000</v>
      </c>
      <c r="F1309" s="20" t="s">
        <v>8</v>
      </c>
      <c r="G1309" s="43">
        <v>12.7</v>
      </c>
      <c r="H1309" s="43">
        <v>13.2</v>
      </c>
      <c r="I1309" s="43">
        <v>0</v>
      </c>
      <c r="J1309" s="43">
        <v>0</v>
      </c>
      <c r="K1309" s="1">
        <f t="shared" si="2253"/>
        <v>1500</v>
      </c>
      <c r="L1309" s="43">
        <v>0</v>
      </c>
      <c r="M1309" s="43">
        <v>0</v>
      </c>
      <c r="N1309" s="1">
        <f t="shared" si="2251"/>
        <v>0.5</v>
      </c>
      <c r="O1309" s="1">
        <f t="shared" si="2229"/>
        <v>1500</v>
      </c>
      <c r="P1309" s="31"/>
      <c r="Q1309" s="31"/>
      <c r="R1309" s="31"/>
      <c r="S1309" s="31"/>
      <c r="T1309" s="31"/>
      <c r="U1309" s="31"/>
      <c r="V1309" s="31"/>
      <c r="W1309" s="31"/>
      <c r="X1309" s="31"/>
      <c r="Y1309" s="31"/>
      <c r="Z1309" s="31"/>
      <c r="AA1309" s="31"/>
      <c r="AB1309" s="31"/>
      <c r="AC1309" s="31"/>
      <c r="AD1309" s="31"/>
      <c r="AE1309" s="31"/>
      <c r="AF1309" s="31"/>
      <c r="AG1309" s="31"/>
    </row>
    <row r="1310" spans="1:33" s="32" customFormat="1" ht="15" customHeight="1">
      <c r="A1310" s="37">
        <v>43649</v>
      </c>
      <c r="B1310" s="20" t="s">
        <v>122</v>
      </c>
      <c r="C1310" s="20" t="s">
        <v>47</v>
      </c>
      <c r="D1310" s="20">
        <v>2260</v>
      </c>
      <c r="E1310" s="38">
        <v>500</v>
      </c>
      <c r="F1310" s="20" t="s">
        <v>8</v>
      </c>
      <c r="G1310" s="43">
        <v>45</v>
      </c>
      <c r="H1310" s="43">
        <v>48</v>
      </c>
      <c r="I1310" s="43">
        <v>0</v>
      </c>
      <c r="J1310" s="43">
        <v>0</v>
      </c>
      <c r="K1310" s="1">
        <f t="shared" si="2253"/>
        <v>1500</v>
      </c>
      <c r="L1310" s="43">
        <v>0</v>
      </c>
      <c r="M1310" s="43">
        <v>0</v>
      </c>
      <c r="N1310" s="1">
        <f t="shared" si="2251"/>
        <v>3</v>
      </c>
      <c r="O1310" s="1">
        <f t="shared" si="2229"/>
        <v>1500</v>
      </c>
      <c r="P1310" s="31"/>
      <c r="Q1310" s="31"/>
      <c r="R1310" s="31"/>
      <c r="S1310" s="31"/>
      <c r="T1310" s="31"/>
      <c r="U1310" s="31"/>
      <c r="V1310" s="31"/>
      <c r="W1310" s="31"/>
      <c r="X1310" s="31"/>
      <c r="Y1310" s="31"/>
      <c r="Z1310" s="31"/>
      <c r="AA1310" s="31"/>
      <c r="AB1310" s="31"/>
      <c r="AC1310" s="31"/>
      <c r="AD1310" s="31"/>
      <c r="AE1310" s="31"/>
      <c r="AF1310" s="31"/>
      <c r="AG1310" s="31"/>
    </row>
    <row r="1311" spans="1:33" s="32" customFormat="1" ht="15" customHeight="1">
      <c r="A1311" s="37">
        <v>43649</v>
      </c>
      <c r="B1311" s="20" t="s">
        <v>73</v>
      </c>
      <c r="C1311" s="20" t="s">
        <v>47</v>
      </c>
      <c r="D1311" s="20">
        <v>1580</v>
      </c>
      <c r="E1311" s="38">
        <v>375</v>
      </c>
      <c r="F1311" s="20" t="s">
        <v>8</v>
      </c>
      <c r="G1311" s="43">
        <v>36</v>
      </c>
      <c r="H1311" s="43">
        <v>35</v>
      </c>
      <c r="I1311" s="43">
        <v>0</v>
      </c>
      <c r="J1311" s="43">
        <v>0</v>
      </c>
      <c r="K1311" s="1">
        <f t="shared" si="2253"/>
        <v>-375</v>
      </c>
      <c r="L1311" s="43">
        <v>0</v>
      </c>
      <c r="M1311" s="43">
        <v>0</v>
      </c>
      <c r="N1311" s="1">
        <f t="shared" si="2251"/>
        <v>-1</v>
      </c>
      <c r="O1311" s="1">
        <f t="shared" si="2229"/>
        <v>-375</v>
      </c>
      <c r="P1311" s="31"/>
      <c r="Q1311" s="31"/>
      <c r="R1311" s="31"/>
      <c r="S1311" s="31"/>
      <c r="T1311" s="31"/>
      <c r="U1311" s="31"/>
      <c r="V1311" s="31"/>
      <c r="W1311" s="31"/>
      <c r="X1311" s="31"/>
      <c r="Y1311" s="31"/>
      <c r="Z1311" s="31"/>
      <c r="AA1311" s="31"/>
      <c r="AB1311" s="31"/>
      <c r="AC1311" s="31"/>
      <c r="AD1311" s="31"/>
      <c r="AE1311" s="31"/>
      <c r="AF1311" s="31"/>
      <c r="AG1311" s="31"/>
    </row>
    <row r="1312" spans="1:33" s="32" customFormat="1" ht="15" customHeight="1">
      <c r="A1312" s="37">
        <v>43648</v>
      </c>
      <c r="B1312" s="20" t="s">
        <v>60</v>
      </c>
      <c r="C1312" s="20" t="s">
        <v>46</v>
      </c>
      <c r="D1312" s="20">
        <v>175</v>
      </c>
      <c r="E1312" s="38">
        <v>3000</v>
      </c>
      <c r="F1312" s="20" t="s">
        <v>8</v>
      </c>
      <c r="G1312" s="43">
        <v>6.7</v>
      </c>
      <c r="H1312" s="43">
        <v>7.2</v>
      </c>
      <c r="I1312" s="43">
        <v>8.0500000000000007</v>
      </c>
      <c r="J1312" s="43">
        <v>0</v>
      </c>
      <c r="K1312" s="1">
        <f t="shared" ref="K1312:K1315" si="2254">(IF(F1312="SELL",G1312-H1312,IF(F1312="BUY",H1312-G1312)))*E1312</f>
        <v>1500</v>
      </c>
      <c r="L1312" s="43">
        <f>E1312*0.85</f>
        <v>2550</v>
      </c>
      <c r="M1312" s="43">
        <v>0</v>
      </c>
      <c r="N1312" s="1">
        <f t="shared" si="2251"/>
        <v>1.35</v>
      </c>
      <c r="O1312" s="1">
        <f t="shared" ref="O1312:O1375" si="2255">N1312*E1312</f>
        <v>4050.0000000000005</v>
      </c>
      <c r="P1312" s="31"/>
      <c r="Q1312" s="31"/>
      <c r="R1312" s="31"/>
      <c r="S1312" s="31"/>
      <c r="T1312" s="31"/>
      <c r="U1312" s="31"/>
      <c r="V1312" s="31"/>
      <c r="W1312" s="31"/>
      <c r="X1312" s="31"/>
      <c r="Y1312" s="31"/>
      <c r="Z1312" s="31"/>
      <c r="AA1312" s="31"/>
      <c r="AB1312" s="31"/>
      <c r="AC1312" s="31"/>
      <c r="AD1312" s="31"/>
      <c r="AE1312" s="31"/>
      <c r="AF1312" s="31"/>
      <c r="AG1312" s="31"/>
    </row>
    <row r="1313" spans="1:33" s="32" customFormat="1" ht="15" customHeight="1">
      <c r="A1313" s="37">
        <v>43648</v>
      </c>
      <c r="B1313" s="20" t="s">
        <v>26</v>
      </c>
      <c r="C1313" s="20" t="s">
        <v>46</v>
      </c>
      <c r="D1313" s="20">
        <v>500</v>
      </c>
      <c r="E1313" s="38">
        <v>1061</v>
      </c>
      <c r="F1313" s="20" t="s">
        <v>8</v>
      </c>
      <c r="G1313" s="43">
        <v>20.5</v>
      </c>
      <c r="H1313" s="43">
        <v>18.5</v>
      </c>
      <c r="I1313" s="43">
        <v>0</v>
      </c>
      <c r="J1313" s="43">
        <v>0</v>
      </c>
      <c r="K1313" s="1">
        <f t="shared" si="2254"/>
        <v>-2122</v>
      </c>
      <c r="L1313" s="43">
        <v>0</v>
      </c>
      <c r="M1313" s="43">
        <v>0</v>
      </c>
      <c r="N1313" s="1">
        <f t="shared" si="2251"/>
        <v>-2</v>
      </c>
      <c r="O1313" s="1">
        <f t="shared" si="2255"/>
        <v>-2122</v>
      </c>
      <c r="P1313" s="31"/>
      <c r="Q1313" s="31"/>
      <c r="R1313" s="31"/>
      <c r="S1313" s="31"/>
      <c r="T1313" s="31"/>
      <c r="U1313" s="31"/>
      <c r="V1313" s="31"/>
      <c r="W1313" s="31"/>
      <c r="X1313" s="31"/>
      <c r="Y1313" s="31"/>
      <c r="Z1313" s="31"/>
      <c r="AA1313" s="31"/>
      <c r="AB1313" s="31"/>
      <c r="AC1313" s="31"/>
      <c r="AD1313" s="31"/>
      <c r="AE1313" s="31"/>
      <c r="AF1313" s="31"/>
      <c r="AG1313" s="31"/>
    </row>
    <row r="1314" spans="1:33" s="32" customFormat="1" ht="15" customHeight="1">
      <c r="A1314" s="37">
        <v>43648</v>
      </c>
      <c r="B1314" s="20" t="s">
        <v>179</v>
      </c>
      <c r="C1314" s="20" t="s">
        <v>46</v>
      </c>
      <c r="D1314" s="20">
        <v>120</v>
      </c>
      <c r="E1314" s="38">
        <v>4500</v>
      </c>
      <c r="F1314" s="20" t="s">
        <v>8</v>
      </c>
      <c r="G1314" s="43">
        <v>4.5</v>
      </c>
      <c r="H1314" s="43">
        <v>4.5</v>
      </c>
      <c r="I1314" s="43">
        <v>0</v>
      </c>
      <c r="J1314" s="43">
        <v>0</v>
      </c>
      <c r="K1314" s="1">
        <f t="shared" si="2254"/>
        <v>0</v>
      </c>
      <c r="L1314" s="43">
        <v>0</v>
      </c>
      <c r="M1314" s="43">
        <v>0</v>
      </c>
      <c r="N1314" s="1">
        <f t="shared" si="2251"/>
        <v>0</v>
      </c>
      <c r="O1314" s="1">
        <f t="shared" si="2255"/>
        <v>0</v>
      </c>
      <c r="P1314" s="31"/>
      <c r="Q1314" s="31"/>
      <c r="R1314" s="31"/>
      <c r="S1314" s="31"/>
      <c r="T1314" s="31"/>
      <c r="U1314" s="31"/>
      <c r="V1314" s="31"/>
      <c r="W1314" s="31"/>
      <c r="X1314" s="31"/>
      <c r="Y1314" s="31"/>
      <c r="Z1314" s="31"/>
      <c r="AA1314" s="31"/>
      <c r="AB1314" s="31"/>
      <c r="AC1314" s="31"/>
      <c r="AD1314" s="31"/>
      <c r="AE1314" s="31"/>
      <c r="AF1314" s="31"/>
      <c r="AG1314" s="31"/>
    </row>
    <row r="1315" spans="1:33" s="32" customFormat="1" ht="15" customHeight="1">
      <c r="A1315" s="37">
        <v>43648</v>
      </c>
      <c r="B1315" s="20" t="s">
        <v>433</v>
      </c>
      <c r="C1315" s="20" t="s">
        <v>46</v>
      </c>
      <c r="D1315" s="20">
        <v>140</v>
      </c>
      <c r="E1315" s="38">
        <v>4800</v>
      </c>
      <c r="F1315" s="20" t="s">
        <v>8</v>
      </c>
      <c r="G1315" s="43">
        <v>2.35</v>
      </c>
      <c r="H1315" s="43">
        <v>2.35</v>
      </c>
      <c r="I1315" s="43">
        <v>0</v>
      </c>
      <c r="J1315" s="43">
        <v>0</v>
      </c>
      <c r="K1315" s="1">
        <f t="shared" si="2254"/>
        <v>0</v>
      </c>
      <c r="L1315" s="43">
        <v>0</v>
      </c>
      <c r="M1315" s="43">
        <v>0</v>
      </c>
      <c r="N1315" s="1">
        <f t="shared" si="2251"/>
        <v>0</v>
      </c>
      <c r="O1315" s="1">
        <f t="shared" si="2255"/>
        <v>0</v>
      </c>
      <c r="P1315" s="31"/>
      <c r="Q1315" s="31"/>
      <c r="R1315" s="31"/>
      <c r="S1315" s="31"/>
      <c r="T1315" s="31"/>
      <c r="U1315" s="31"/>
      <c r="V1315" s="31"/>
      <c r="W1315" s="31"/>
      <c r="X1315" s="31"/>
      <c r="Y1315" s="31"/>
      <c r="Z1315" s="31"/>
      <c r="AA1315" s="31"/>
      <c r="AB1315" s="31"/>
      <c r="AC1315" s="31"/>
      <c r="AD1315" s="31"/>
      <c r="AE1315" s="31"/>
      <c r="AF1315" s="31"/>
      <c r="AG1315" s="31"/>
    </row>
    <row r="1316" spans="1:33" s="32" customFormat="1" ht="15" customHeight="1">
      <c r="A1316" s="37">
        <v>43647</v>
      </c>
      <c r="B1316" s="20" t="s">
        <v>67</v>
      </c>
      <c r="C1316" s="20" t="s">
        <v>47</v>
      </c>
      <c r="D1316" s="20">
        <v>950</v>
      </c>
      <c r="E1316" s="38">
        <v>600</v>
      </c>
      <c r="F1316" s="20" t="s">
        <v>8</v>
      </c>
      <c r="G1316" s="43">
        <v>33</v>
      </c>
      <c r="H1316" s="43">
        <v>35.5</v>
      </c>
      <c r="I1316" s="43">
        <v>0</v>
      </c>
      <c r="J1316" s="43">
        <v>0</v>
      </c>
      <c r="K1316" s="1">
        <f t="shared" ref="K1316:K1318" si="2256">(IF(F1316="SELL",G1316-H1316,IF(F1316="BUY",H1316-G1316)))*E1316</f>
        <v>1500</v>
      </c>
      <c r="L1316" s="43">
        <v>0</v>
      </c>
      <c r="M1316" s="43">
        <v>0</v>
      </c>
      <c r="N1316" s="1">
        <f t="shared" si="2251"/>
        <v>2.5</v>
      </c>
      <c r="O1316" s="1">
        <f t="shared" si="2255"/>
        <v>1500</v>
      </c>
      <c r="P1316" s="31"/>
      <c r="Q1316" s="31"/>
      <c r="R1316" s="31"/>
      <c r="S1316" s="31"/>
      <c r="T1316" s="31"/>
      <c r="U1316" s="31"/>
      <c r="V1316" s="31"/>
      <c r="W1316" s="31"/>
      <c r="X1316" s="31"/>
      <c r="Y1316" s="31"/>
      <c r="Z1316" s="31"/>
      <c r="AA1316" s="31"/>
      <c r="AB1316" s="31"/>
      <c r="AC1316" s="31"/>
      <c r="AD1316" s="31"/>
      <c r="AE1316" s="31"/>
      <c r="AF1316" s="31"/>
      <c r="AG1316" s="31"/>
    </row>
    <row r="1317" spans="1:33" s="32" customFormat="1" ht="15" customHeight="1">
      <c r="A1317" s="37">
        <v>43647</v>
      </c>
      <c r="B1317" s="20" t="s">
        <v>175</v>
      </c>
      <c r="C1317" s="20" t="s">
        <v>47</v>
      </c>
      <c r="D1317" s="20">
        <v>3750</v>
      </c>
      <c r="E1317" s="38">
        <v>250</v>
      </c>
      <c r="F1317" s="20" t="s">
        <v>8</v>
      </c>
      <c r="G1317" s="43">
        <v>79</v>
      </c>
      <c r="H1317" s="43">
        <v>74</v>
      </c>
      <c r="I1317" s="43">
        <v>0</v>
      </c>
      <c r="J1317" s="43">
        <v>0</v>
      </c>
      <c r="K1317" s="1">
        <f t="shared" si="2256"/>
        <v>-1250</v>
      </c>
      <c r="L1317" s="43">
        <v>0</v>
      </c>
      <c r="M1317" s="43">
        <v>0</v>
      </c>
      <c r="N1317" s="1">
        <f t="shared" si="2251"/>
        <v>-5</v>
      </c>
      <c r="O1317" s="1">
        <f t="shared" si="2255"/>
        <v>-1250</v>
      </c>
      <c r="P1317" s="31"/>
      <c r="Q1317" s="31"/>
      <c r="R1317" s="31"/>
      <c r="S1317" s="31"/>
      <c r="T1317" s="31"/>
      <c r="U1317" s="31"/>
      <c r="V1317" s="31"/>
      <c r="W1317" s="31"/>
      <c r="X1317" s="31"/>
      <c r="Y1317" s="31"/>
      <c r="Z1317" s="31"/>
      <c r="AA1317" s="31"/>
      <c r="AB1317" s="31"/>
      <c r="AC1317" s="31"/>
      <c r="AD1317" s="31"/>
      <c r="AE1317" s="31"/>
      <c r="AF1317" s="31"/>
      <c r="AG1317" s="31"/>
    </row>
    <row r="1318" spans="1:33" s="32" customFormat="1" ht="15" customHeight="1">
      <c r="A1318" s="37">
        <v>43647</v>
      </c>
      <c r="B1318" s="20" t="s">
        <v>22</v>
      </c>
      <c r="C1318" s="20" t="s">
        <v>47</v>
      </c>
      <c r="D1318" s="20">
        <v>190</v>
      </c>
      <c r="E1318" s="38">
        <v>2600</v>
      </c>
      <c r="F1318" s="20" t="s">
        <v>8</v>
      </c>
      <c r="G1318" s="43">
        <v>8.5</v>
      </c>
      <c r="H1318" s="43">
        <v>8.5</v>
      </c>
      <c r="I1318" s="43">
        <v>0</v>
      </c>
      <c r="J1318" s="43">
        <v>0</v>
      </c>
      <c r="K1318" s="1">
        <f t="shared" si="2256"/>
        <v>0</v>
      </c>
      <c r="L1318" s="43">
        <v>0</v>
      </c>
      <c r="M1318" s="43">
        <v>0</v>
      </c>
      <c r="N1318" s="1">
        <f t="shared" si="2251"/>
        <v>0</v>
      </c>
      <c r="O1318" s="1">
        <f t="shared" si="2255"/>
        <v>0</v>
      </c>
      <c r="P1318" s="31"/>
      <c r="Q1318" s="31"/>
      <c r="R1318" s="31"/>
      <c r="S1318" s="31"/>
      <c r="T1318" s="31"/>
      <c r="U1318" s="31"/>
      <c r="V1318" s="31"/>
      <c r="W1318" s="31"/>
      <c r="X1318" s="31"/>
      <c r="Y1318" s="31"/>
      <c r="Z1318" s="31"/>
      <c r="AA1318" s="31"/>
      <c r="AB1318" s="31"/>
      <c r="AC1318" s="31"/>
      <c r="AD1318" s="31"/>
      <c r="AE1318" s="31"/>
      <c r="AF1318" s="31"/>
      <c r="AG1318" s="31"/>
    </row>
    <row r="1319" spans="1:33" s="32" customFormat="1" ht="15" customHeight="1">
      <c r="A1319" s="37">
        <v>43644</v>
      </c>
      <c r="B1319" s="20" t="s">
        <v>400</v>
      </c>
      <c r="C1319" s="20" t="s">
        <v>46</v>
      </c>
      <c r="D1319" s="20">
        <v>500</v>
      </c>
      <c r="E1319" s="38">
        <v>1061</v>
      </c>
      <c r="F1319" s="20" t="s">
        <v>8</v>
      </c>
      <c r="G1319" s="43">
        <v>19</v>
      </c>
      <c r="H1319" s="43">
        <v>21.5</v>
      </c>
      <c r="I1319" s="43">
        <v>0</v>
      </c>
      <c r="J1319" s="43">
        <v>0</v>
      </c>
      <c r="K1319" s="1">
        <f t="shared" ref="K1319:K1322" si="2257">(IF(F1319="SELL",G1319-H1319,IF(F1319="BUY",H1319-G1319)))*E1319</f>
        <v>2652.5</v>
      </c>
      <c r="L1319" s="43">
        <v>0</v>
      </c>
      <c r="M1319" s="43">
        <v>0</v>
      </c>
      <c r="N1319" s="1">
        <f t="shared" si="2251"/>
        <v>2.5</v>
      </c>
      <c r="O1319" s="1">
        <f t="shared" si="2255"/>
        <v>2652.5</v>
      </c>
      <c r="P1319" s="31"/>
      <c r="Q1319" s="31"/>
      <c r="R1319" s="31"/>
      <c r="S1319" s="31"/>
      <c r="T1319" s="31"/>
      <c r="U1319" s="31"/>
      <c r="V1319" s="31"/>
      <c r="W1319" s="31"/>
      <c r="X1319" s="31"/>
      <c r="Y1319" s="31"/>
      <c r="Z1319" s="31"/>
      <c r="AA1319" s="31"/>
      <c r="AB1319" s="31"/>
      <c r="AC1319" s="31"/>
      <c r="AD1319" s="31"/>
      <c r="AE1319" s="31"/>
      <c r="AF1319" s="31"/>
      <c r="AG1319" s="31"/>
    </row>
    <row r="1320" spans="1:33" s="32" customFormat="1" ht="15" customHeight="1">
      <c r="A1320" s="37">
        <v>43644</v>
      </c>
      <c r="B1320" s="20" t="s">
        <v>421</v>
      </c>
      <c r="C1320" s="20" t="s">
        <v>47</v>
      </c>
      <c r="D1320" s="20">
        <v>360</v>
      </c>
      <c r="E1320" s="38">
        <v>3000</v>
      </c>
      <c r="F1320" s="20" t="s">
        <v>8</v>
      </c>
      <c r="G1320" s="43">
        <v>13.8</v>
      </c>
      <c r="H1320" s="43">
        <v>14.3</v>
      </c>
      <c r="I1320" s="43">
        <v>0</v>
      </c>
      <c r="J1320" s="43">
        <v>0</v>
      </c>
      <c r="K1320" s="1">
        <f t="shared" si="2257"/>
        <v>1500</v>
      </c>
      <c r="L1320" s="43">
        <v>0</v>
      </c>
      <c r="M1320" s="43">
        <v>0</v>
      </c>
      <c r="N1320" s="1">
        <f t="shared" si="2251"/>
        <v>0.5</v>
      </c>
      <c r="O1320" s="1">
        <f t="shared" si="2255"/>
        <v>1500</v>
      </c>
      <c r="P1320" s="31"/>
      <c r="Q1320" s="31"/>
      <c r="R1320" s="31"/>
      <c r="S1320" s="31"/>
      <c r="T1320" s="31"/>
      <c r="U1320" s="31"/>
      <c r="V1320" s="31"/>
      <c r="W1320" s="31"/>
      <c r="X1320" s="31"/>
      <c r="Y1320" s="31"/>
      <c r="Z1320" s="31"/>
      <c r="AA1320" s="31"/>
      <c r="AB1320" s="31"/>
      <c r="AC1320" s="31"/>
      <c r="AD1320" s="31"/>
      <c r="AE1320" s="31"/>
      <c r="AF1320" s="31"/>
      <c r="AG1320" s="31"/>
    </row>
    <row r="1321" spans="1:33" s="32" customFormat="1" ht="15" customHeight="1">
      <c r="A1321" s="37">
        <v>43644</v>
      </c>
      <c r="B1321" s="20" t="s">
        <v>20</v>
      </c>
      <c r="C1321" s="20" t="s">
        <v>46</v>
      </c>
      <c r="D1321" s="20">
        <v>740</v>
      </c>
      <c r="E1321" s="38">
        <v>1200</v>
      </c>
      <c r="F1321" s="20" t="s">
        <v>8</v>
      </c>
      <c r="G1321" s="43">
        <v>21</v>
      </c>
      <c r="H1321" s="43">
        <v>22.3</v>
      </c>
      <c r="I1321" s="43">
        <v>0</v>
      </c>
      <c r="J1321" s="43">
        <v>0</v>
      </c>
      <c r="K1321" s="1">
        <f t="shared" si="2257"/>
        <v>1560.0000000000009</v>
      </c>
      <c r="L1321" s="43">
        <v>0</v>
      </c>
      <c r="M1321" s="43">
        <v>0</v>
      </c>
      <c r="N1321" s="1">
        <f t="shared" si="2251"/>
        <v>1.3000000000000007</v>
      </c>
      <c r="O1321" s="1">
        <f t="shared" si="2255"/>
        <v>1560.0000000000009</v>
      </c>
      <c r="P1321" s="31"/>
      <c r="Q1321" s="31"/>
      <c r="R1321" s="31"/>
      <c r="S1321" s="31"/>
      <c r="T1321" s="31"/>
      <c r="U1321" s="31"/>
      <c r="V1321" s="31"/>
      <c r="W1321" s="31"/>
      <c r="X1321" s="31"/>
      <c r="Y1321" s="31"/>
      <c r="Z1321" s="31"/>
      <c r="AA1321" s="31"/>
      <c r="AB1321" s="31"/>
      <c r="AC1321" s="31"/>
      <c r="AD1321" s="31"/>
      <c r="AE1321" s="31"/>
      <c r="AF1321" s="31"/>
      <c r="AG1321" s="31"/>
    </row>
    <row r="1322" spans="1:33" s="32" customFormat="1" ht="15" customHeight="1">
      <c r="A1322" s="37">
        <v>43644</v>
      </c>
      <c r="B1322" s="20" t="s">
        <v>98</v>
      </c>
      <c r="C1322" s="20" t="s">
        <v>47</v>
      </c>
      <c r="D1322" s="20">
        <v>250</v>
      </c>
      <c r="E1322" s="38">
        <v>1800</v>
      </c>
      <c r="F1322" s="20" t="s">
        <v>8</v>
      </c>
      <c r="G1322" s="43">
        <v>10</v>
      </c>
      <c r="H1322" s="43">
        <v>9.4499999999999993</v>
      </c>
      <c r="I1322" s="43">
        <v>0</v>
      </c>
      <c r="J1322" s="43">
        <v>0</v>
      </c>
      <c r="K1322" s="1">
        <f t="shared" si="2257"/>
        <v>-990.00000000000125</v>
      </c>
      <c r="L1322" s="43">
        <v>0</v>
      </c>
      <c r="M1322" s="43">
        <v>0</v>
      </c>
      <c r="N1322" s="1">
        <f t="shared" si="2251"/>
        <v>-0.55000000000000071</v>
      </c>
      <c r="O1322" s="1">
        <f t="shared" si="2255"/>
        <v>-990.00000000000125</v>
      </c>
      <c r="P1322" s="31"/>
      <c r="Q1322" s="31"/>
      <c r="R1322" s="31"/>
      <c r="S1322" s="31"/>
      <c r="T1322" s="31"/>
      <c r="U1322" s="31"/>
      <c r="V1322" s="31"/>
      <c r="W1322" s="31"/>
      <c r="X1322" s="31"/>
      <c r="Y1322" s="31"/>
      <c r="Z1322" s="31"/>
      <c r="AA1322" s="31"/>
      <c r="AB1322" s="31"/>
      <c r="AC1322" s="31"/>
      <c r="AD1322" s="31"/>
      <c r="AE1322" s="31"/>
      <c r="AF1322" s="31"/>
      <c r="AG1322" s="31"/>
    </row>
    <row r="1323" spans="1:33" s="32" customFormat="1" ht="15" customHeight="1">
      <c r="A1323" s="37">
        <v>43643</v>
      </c>
      <c r="B1323" s="20" t="s">
        <v>67</v>
      </c>
      <c r="C1323" s="20" t="s">
        <v>47</v>
      </c>
      <c r="D1323" s="20">
        <v>950</v>
      </c>
      <c r="E1323" s="38">
        <v>600</v>
      </c>
      <c r="F1323" s="20" t="s">
        <v>8</v>
      </c>
      <c r="G1323" s="43">
        <v>7</v>
      </c>
      <c r="H1323" s="43">
        <v>9.5</v>
      </c>
      <c r="I1323" s="43">
        <v>0</v>
      </c>
      <c r="J1323" s="43">
        <v>0</v>
      </c>
      <c r="K1323" s="1">
        <f t="shared" ref="K1323:K1325" si="2258">(IF(F1323="SELL",G1323-H1323,IF(F1323="BUY",H1323-G1323)))*E1323</f>
        <v>1500</v>
      </c>
      <c r="L1323" s="43">
        <v>0</v>
      </c>
      <c r="M1323" s="43">
        <v>0</v>
      </c>
      <c r="N1323" s="1">
        <f t="shared" si="2251"/>
        <v>2.5</v>
      </c>
      <c r="O1323" s="1">
        <f t="shared" si="2255"/>
        <v>1500</v>
      </c>
      <c r="P1323" s="31"/>
      <c r="Q1323" s="31"/>
      <c r="R1323" s="31"/>
      <c r="S1323" s="31"/>
      <c r="T1323" s="31"/>
      <c r="U1323" s="31"/>
      <c r="V1323" s="31"/>
      <c r="W1323" s="31"/>
      <c r="X1323" s="31"/>
      <c r="Y1323" s="31"/>
      <c r="Z1323" s="31"/>
      <c r="AA1323" s="31"/>
      <c r="AB1323" s="31"/>
      <c r="AC1323" s="31"/>
      <c r="AD1323" s="31"/>
      <c r="AE1323" s="31"/>
      <c r="AF1323" s="31"/>
      <c r="AG1323" s="31"/>
    </row>
    <row r="1324" spans="1:33" s="32" customFormat="1" ht="15" customHeight="1">
      <c r="A1324" s="37">
        <v>43643</v>
      </c>
      <c r="B1324" s="20" t="s">
        <v>63</v>
      </c>
      <c r="C1324" s="20" t="s">
        <v>425</v>
      </c>
      <c r="D1324" s="20">
        <v>290</v>
      </c>
      <c r="E1324" s="38">
        <v>2100</v>
      </c>
      <c r="F1324" s="20" t="s">
        <v>8</v>
      </c>
      <c r="G1324" s="43">
        <v>1.4</v>
      </c>
      <c r="H1324" s="43">
        <v>2.2000000000000002</v>
      </c>
      <c r="I1324" s="43">
        <v>0</v>
      </c>
      <c r="J1324" s="43">
        <v>0</v>
      </c>
      <c r="K1324" s="1">
        <f t="shared" si="2258"/>
        <v>1680.0000000000005</v>
      </c>
      <c r="L1324" s="43">
        <v>0</v>
      </c>
      <c r="M1324" s="43">
        <v>0</v>
      </c>
      <c r="N1324" s="1">
        <f t="shared" si="2251"/>
        <v>0.80000000000000027</v>
      </c>
      <c r="O1324" s="1">
        <f t="shared" si="2255"/>
        <v>1680.0000000000005</v>
      </c>
      <c r="P1324" s="31"/>
      <c r="Q1324" s="31"/>
      <c r="R1324" s="31"/>
      <c r="S1324" s="31"/>
      <c r="T1324" s="31"/>
      <c r="U1324" s="31"/>
      <c r="V1324" s="31"/>
      <c r="W1324" s="31"/>
      <c r="X1324" s="31"/>
      <c r="Y1324" s="31"/>
      <c r="Z1324" s="31"/>
      <c r="AA1324" s="31"/>
      <c r="AB1324" s="31"/>
      <c r="AC1324" s="31"/>
      <c r="AD1324" s="31"/>
      <c r="AE1324" s="31"/>
      <c r="AF1324" s="31"/>
      <c r="AG1324" s="31"/>
    </row>
    <row r="1325" spans="1:33" s="32" customFormat="1" ht="15" customHeight="1">
      <c r="A1325" s="37">
        <v>43643</v>
      </c>
      <c r="B1325" s="20" t="s">
        <v>17</v>
      </c>
      <c r="C1325" s="20" t="s">
        <v>47</v>
      </c>
      <c r="D1325" s="20">
        <v>800</v>
      </c>
      <c r="E1325" s="38">
        <v>1200</v>
      </c>
      <c r="F1325" s="20" t="s">
        <v>8</v>
      </c>
      <c r="G1325" s="43">
        <v>6</v>
      </c>
      <c r="H1325" s="43">
        <v>4</v>
      </c>
      <c r="I1325" s="43">
        <v>0</v>
      </c>
      <c r="J1325" s="43">
        <v>0</v>
      </c>
      <c r="K1325" s="1">
        <f t="shared" si="2258"/>
        <v>-2400</v>
      </c>
      <c r="L1325" s="43">
        <v>0</v>
      </c>
      <c r="M1325" s="43">
        <v>0</v>
      </c>
      <c r="N1325" s="1">
        <f t="shared" si="2251"/>
        <v>-2</v>
      </c>
      <c r="O1325" s="1">
        <f t="shared" si="2255"/>
        <v>-2400</v>
      </c>
      <c r="P1325" s="31"/>
      <c r="Q1325" s="31"/>
      <c r="R1325" s="31"/>
      <c r="S1325" s="31"/>
      <c r="T1325" s="31"/>
      <c r="U1325" s="31"/>
      <c r="V1325" s="31"/>
      <c r="W1325" s="31"/>
      <c r="X1325" s="31"/>
      <c r="Y1325" s="31"/>
      <c r="Z1325" s="31"/>
      <c r="AA1325" s="31"/>
      <c r="AB1325" s="31"/>
      <c r="AC1325" s="31"/>
      <c r="AD1325" s="31"/>
      <c r="AE1325" s="31"/>
      <c r="AF1325" s="31"/>
      <c r="AG1325" s="31"/>
    </row>
    <row r="1326" spans="1:33" s="32" customFormat="1" ht="15" customHeight="1">
      <c r="A1326" s="37">
        <v>43642</v>
      </c>
      <c r="B1326" s="20" t="s">
        <v>400</v>
      </c>
      <c r="C1326" s="20" t="s">
        <v>47</v>
      </c>
      <c r="D1326" s="20">
        <v>500</v>
      </c>
      <c r="E1326" s="38">
        <v>1061</v>
      </c>
      <c r="F1326" s="20" t="s">
        <v>8</v>
      </c>
      <c r="G1326" s="43">
        <v>4</v>
      </c>
      <c r="H1326" s="43">
        <v>6.5</v>
      </c>
      <c r="I1326" s="43">
        <v>9</v>
      </c>
      <c r="J1326" s="43">
        <v>13.3</v>
      </c>
      <c r="K1326" s="1">
        <f t="shared" ref="K1326:K1329" si="2259">(IF(F1326="SELL",G1326-H1326,IF(F1326="BUY",H1326-G1326)))*E1326</f>
        <v>2652.5</v>
      </c>
      <c r="L1326" s="43">
        <f>E1326*2.5</f>
        <v>2652.5</v>
      </c>
      <c r="M1326" s="43">
        <f>E1326*4.3</f>
        <v>4562.3</v>
      </c>
      <c r="N1326" s="1">
        <f t="shared" si="2251"/>
        <v>9.2999999999999989</v>
      </c>
      <c r="O1326" s="1">
        <f t="shared" si="2255"/>
        <v>9867.2999999999993</v>
      </c>
      <c r="P1326" s="31"/>
      <c r="Q1326" s="31"/>
      <c r="R1326" s="31"/>
      <c r="S1326" s="31"/>
      <c r="T1326" s="31"/>
      <c r="U1326" s="31"/>
      <c r="V1326" s="31"/>
      <c r="W1326" s="31"/>
      <c r="X1326" s="31"/>
      <c r="Y1326" s="31"/>
      <c r="Z1326" s="31"/>
      <c r="AA1326" s="31"/>
      <c r="AB1326" s="31"/>
      <c r="AC1326" s="31"/>
      <c r="AD1326" s="31"/>
      <c r="AE1326" s="31"/>
      <c r="AF1326" s="31"/>
      <c r="AG1326" s="31"/>
    </row>
    <row r="1327" spans="1:33" s="32" customFormat="1" ht="15" customHeight="1">
      <c r="A1327" s="37">
        <v>43642</v>
      </c>
      <c r="B1327" s="20" t="s">
        <v>16</v>
      </c>
      <c r="C1327" s="20" t="s">
        <v>47</v>
      </c>
      <c r="D1327" s="20">
        <v>410</v>
      </c>
      <c r="E1327" s="38">
        <v>2500</v>
      </c>
      <c r="F1327" s="20" t="s">
        <v>8</v>
      </c>
      <c r="G1327" s="43">
        <v>3.5</v>
      </c>
      <c r="H1327" s="43">
        <v>4.0999999999999996</v>
      </c>
      <c r="I1327" s="43">
        <v>5.5</v>
      </c>
      <c r="J1327" s="43">
        <v>0</v>
      </c>
      <c r="K1327" s="1">
        <f t="shared" si="2259"/>
        <v>1499.9999999999991</v>
      </c>
      <c r="L1327" s="43">
        <f>E1327*1.4</f>
        <v>3500</v>
      </c>
      <c r="M1327" s="43">
        <v>0</v>
      </c>
      <c r="N1327" s="1">
        <f t="shared" si="2251"/>
        <v>1.9999999999999996</v>
      </c>
      <c r="O1327" s="1">
        <f t="shared" si="2255"/>
        <v>4999.9999999999991</v>
      </c>
      <c r="P1327" s="31"/>
      <c r="Q1327" s="31"/>
      <c r="R1327" s="31"/>
      <c r="S1327" s="31"/>
      <c r="T1327" s="31"/>
      <c r="U1327" s="31"/>
      <c r="V1327" s="31"/>
      <c r="W1327" s="31"/>
      <c r="X1327" s="31"/>
      <c r="Y1327" s="31"/>
      <c r="Z1327" s="31"/>
      <c r="AA1327" s="31"/>
      <c r="AB1327" s="31"/>
      <c r="AC1327" s="31"/>
      <c r="AD1327" s="31"/>
      <c r="AE1327" s="31"/>
      <c r="AF1327" s="31"/>
      <c r="AG1327" s="31"/>
    </row>
    <row r="1328" spans="1:33" s="32" customFormat="1" ht="15" customHeight="1">
      <c r="A1328" s="37">
        <v>43642</v>
      </c>
      <c r="B1328" s="20" t="s">
        <v>17</v>
      </c>
      <c r="C1328" s="20" t="s">
        <v>47</v>
      </c>
      <c r="D1328" s="20">
        <v>780</v>
      </c>
      <c r="E1328" s="38">
        <v>1200</v>
      </c>
      <c r="F1328" s="20" t="s">
        <v>8</v>
      </c>
      <c r="G1328" s="43">
        <v>11.5</v>
      </c>
      <c r="H1328" s="43">
        <v>12.8</v>
      </c>
      <c r="I1328" s="43">
        <v>0</v>
      </c>
      <c r="J1328" s="43">
        <v>0</v>
      </c>
      <c r="K1328" s="1">
        <f t="shared" si="2259"/>
        <v>1560.0000000000009</v>
      </c>
      <c r="L1328" s="43">
        <v>0</v>
      </c>
      <c r="M1328" s="43">
        <v>0</v>
      </c>
      <c r="N1328" s="1">
        <f t="shared" si="2251"/>
        <v>1.3000000000000007</v>
      </c>
      <c r="O1328" s="1">
        <f t="shared" si="2255"/>
        <v>1560.0000000000009</v>
      </c>
      <c r="P1328" s="31"/>
      <c r="Q1328" s="31"/>
      <c r="R1328" s="31"/>
      <c r="S1328" s="31"/>
      <c r="T1328" s="31"/>
      <c r="U1328" s="31"/>
      <c r="V1328" s="31"/>
      <c r="W1328" s="31"/>
      <c r="X1328" s="31"/>
      <c r="Y1328" s="31"/>
      <c r="Z1328" s="31"/>
      <c r="AA1328" s="31"/>
      <c r="AB1328" s="31"/>
      <c r="AC1328" s="31"/>
      <c r="AD1328" s="31"/>
      <c r="AE1328" s="31"/>
      <c r="AF1328" s="31"/>
      <c r="AG1328" s="31"/>
    </row>
    <row r="1329" spans="1:33" s="32" customFormat="1" ht="15" customHeight="1">
      <c r="A1329" s="37">
        <v>43642</v>
      </c>
      <c r="B1329" s="20" t="s">
        <v>131</v>
      </c>
      <c r="C1329" s="20" t="s">
        <v>47</v>
      </c>
      <c r="D1329" s="20">
        <v>220</v>
      </c>
      <c r="E1329" s="38">
        <v>2500</v>
      </c>
      <c r="F1329" s="20" t="s">
        <v>8</v>
      </c>
      <c r="G1329" s="43">
        <v>1.5</v>
      </c>
      <c r="H1329" s="43">
        <v>0.9</v>
      </c>
      <c r="I1329" s="43">
        <v>0</v>
      </c>
      <c r="J1329" s="43">
        <v>0</v>
      </c>
      <c r="K1329" s="1">
        <f t="shared" si="2259"/>
        <v>-1500</v>
      </c>
      <c r="L1329" s="43">
        <v>0</v>
      </c>
      <c r="M1329" s="43">
        <v>0</v>
      </c>
      <c r="N1329" s="1">
        <f t="shared" si="2251"/>
        <v>-0.6</v>
      </c>
      <c r="O1329" s="1">
        <f t="shared" si="2255"/>
        <v>-1500</v>
      </c>
      <c r="P1329" s="31"/>
      <c r="Q1329" s="31"/>
      <c r="R1329" s="31"/>
      <c r="S1329" s="31"/>
      <c r="T1329" s="31"/>
      <c r="U1329" s="31"/>
      <c r="V1329" s="31"/>
      <c r="W1329" s="31"/>
      <c r="X1329" s="31"/>
      <c r="Y1329" s="31"/>
      <c r="Z1329" s="31"/>
      <c r="AA1329" s="31"/>
      <c r="AB1329" s="31"/>
      <c r="AC1329" s="31"/>
      <c r="AD1329" s="31"/>
      <c r="AE1329" s="31"/>
      <c r="AF1329" s="31"/>
      <c r="AG1329" s="31"/>
    </row>
    <row r="1330" spans="1:33" s="32" customFormat="1" ht="15" customHeight="1">
      <c r="A1330" s="37">
        <v>43641</v>
      </c>
      <c r="B1330" s="20" t="s">
        <v>21</v>
      </c>
      <c r="C1330" s="20" t="s">
        <v>47</v>
      </c>
      <c r="D1330" s="20">
        <v>350</v>
      </c>
      <c r="E1330" s="38">
        <v>3000</v>
      </c>
      <c r="F1330" s="20" t="s">
        <v>8</v>
      </c>
      <c r="G1330" s="43">
        <v>5</v>
      </c>
      <c r="H1330" s="43">
        <v>5.75</v>
      </c>
      <c r="I1330" s="43">
        <v>7</v>
      </c>
      <c r="J1330" s="43">
        <v>0</v>
      </c>
      <c r="K1330" s="1">
        <f t="shared" ref="K1330:K1332" si="2260">(IF(F1330="SELL",G1330-H1330,IF(F1330="BUY",H1330-G1330)))*E1330</f>
        <v>2250</v>
      </c>
      <c r="L1330" s="43">
        <f>E1330*1.25</f>
        <v>3750</v>
      </c>
      <c r="M1330" s="43">
        <v>0</v>
      </c>
      <c r="N1330" s="1">
        <f t="shared" si="2251"/>
        <v>2</v>
      </c>
      <c r="O1330" s="1">
        <f t="shared" si="2255"/>
        <v>6000</v>
      </c>
      <c r="P1330" s="31"/>
      <c r="Q1330" s="31"/>
      <c r="R1330" s="31"/>
      <c r="S1330" s="31"/>
      <c r="T1330" s="31"/>
      <c r="U1330" s="31"/>
      <c r="V1330" s="31"/>
      <c r="W1330" s="31"/>
      <c r="X1330" s="31"/>
      <c r="Y1330" s="31"/>
      <c r="Z1330" s="31"/>
      <c r="AA1330" s="31"/>
      <c r="AB1330" s="31"/>
      <c r="AC1330" s="31"/>
      <c r="AD1330" s="31"/>
      <c r="AE1330" s="31"/>
      <c r="AF1330" s="31"/>
      <c r="AG1330" s="31"/>
    </row>
    <row r="1331" spans="1:33" s="32" customFormat="1" ht="15" customHeight="1">
      <c r="A1331" s="37">
        <v>43641</v>
      </c>
      <c r="B1331" s="20" t="s">
        <v>431</v>
      </c>
      <c r="C1331" s="20" t="s">
        <v>47</v>
      </c>
      <c r="D1331" s="20">
        <v>260</v>
      </c>
      <c r="E1331" s="38">
        <v>2000</v>
      </c>
      <c r="F1331" s="20" t="s">
        <v>8</v>
      </c>
      <c r="G1331" s="43">
        <v>3.5</v>
      </c>
      <c r="H1331" s="43">
        <v>5</v>
      </c>
      <c r="I1331" s="43">
        <v>0</v>
      </c>
      <c r="J1331" s="43">
        <v>0</v>
      </c>
      <c r="K1331" s="1">
        <f t="shared" si="2260"/>
        <v>3000</v>
      </c>
      <c r="L1331" s="43">
        <v>0</v>
      </c>
      <c r="M1331" s="43">
        <v>0</v>
      </c>
      <c r="N1331" s="1">
        <f t="shared" si="2251"/>
        <v>1.5</v>
      </c>
      <c r="O1331" s="1">
        <f t="shared" si="2255"/>
        <v>3000</v>
      </c>
      <c r="P1331" s="31"/>
      <c r="Q1331" s="31"/>
      <c r="R1331" s="31"/>
      <c r="S1331" s="31"/>
      <c r="T1331" s="31"/>
      <c r="U1331" s="31"/>
      <c r="V1331" s="31"/>
      <c r="W1331" s="31"/>
      <c r="X1331" s="31"/>
      <c r="Y1331" s="31"/>
      <c r="Z1331" s="31"/>
      <c r="AA1331" s="31"/>
      <c r="AB1331" s="31"/>
      <c r="AC1331" s="31"/>
      <c r="AD1331" s="31"/>
      <c r="AE1331" s="31"/>
      <c r="AF1331" s="31"/>
      <c r="AG1331" s="31"/>
    </row>
    <row r="1332" spans="1:33" s="32" customFormat="1" ht="15" customHeight="1">
      <c r="A1332" s="37">
        <v>43641</v>
      </c>
      <c r="B1332" s="20" t="s">
        <v>432</v>
      </c>
      <c r="C1332" s="20" t="s">
        <v>47</v>
      </c>
      <c r="D1332" s="20">
        <v>290</v>
      </c>
      <c r="E1332" s="38">
        <v>1600</v>
      </c>
      <c r="F1332" s="20" t="s">
        <v>8</v>
      </c>
      <c r="G1332" s="43">
        <v>8</v>
      </c>
      <c r="H1332" s="43">
        <v>4</v>
      </c>
      <c r="I1332" s="43">
        <v>0</v>
      </c>
      <c r="J1332" s="43">
        <v>0</v>
      </c>
      <c r="K1332" s="1">
        <f t="shared" si="2260"/>
        <v>-6400</v>
      </c>
      <c r="L1332" s="43">
        <v>0</v>
      </c>
      <c r="M1332" s="43">
        <v>0</v>
      </c>
      <c r="N1332" s="1">
        <f t="shared" si="2251"/>
        <v>-4</v>
      </c>
      <c r="O1332" s="1">
        <f t="shared" si="2255"/>
        <v>-6400</v>
      </c>
      <c r="P1332" s="31"/>
      <c r="Q1332" s="31"/>
      <c r="R1332" s="31"/>
      <c r="S1332" s="31"/>
      <c r="T1332" s="31"/>
      <c r="U1332" s="31"/>
      <c r="V1332" s="31"/>
      <c r="W1332" s="31"/>
      <c r="X1332" s="31"/>
      <c r="Y1332" s="31"/>
      <c r="Z1332" s="31"/>
      <c r="AA1332" s="31"/>
      <c r="AB1332" s="31"/>
      <c r="AC1332" s="31"/>
      <c r="AD1332" s="31"/>
      <c r="AE1332" s="31"/>
      <c r="AF1332" s="31"/>
      <c r="AG1332" s="31"/>
    </row>
    <row r="1333" spans="1:33" s="32" customFormat="1" ht="15" customHeight="1">
      <c r="A1333" s="37">
        <v>43640</v>
      </c>
      <c r="B1333" s="20" t="s">
        <v>67</v>
      </c>
      <c r="C1333" s="20" t="s">
        <v>47</v>
      </c>
      <c r="D1333" s="20">
        <v>910</v>
      </c>
      <c r="E1333" s="38">
        <v>600</v>
      </c>
      <c r="F1333" s="20" t="s">
        <v>8</v>
      </c>
      <c r="G1333" s="43">
        <v>23</v>
      </c>
      <c r="H1333" s="43">
        <v>25.5</v>
      </c>
      <c r="I1333" s="43">
        <v>31</v>
      </c>
      <c r="J1333" s="43">
        <v>0</v>
      </c>
      <c r="K1333" s="1">
        <f t="shared" ref="K1333:K1337" si="2261">(IF(F1333="SELL",G1333-H1333,IF(F1333="BUY",H1333-G1333)))*E1333</f>
        <v>1500</v>
      </c>
      <c r="L1333" s="43">
        <f>E1333*5.5</f>
        <v>3300</v>
      </c>
      <c r="M1333" s="43">
        <v>0</v>
      </c>
      <c r="N1333" s="1">
        <f t="shared" si="2251"/>
        <v>8</v>
      </c>
      <c r="O1333" s="1">
        <f t="shared" si="2255"/>
        <v>4800</v>
      </c>
      <c r="P1333" s="31"/>
      <c r="Q1333" s="31"/>
      <c r="R1333" s="31"/>
      <c r="S1333" s="31"/>
      <c r="T1333" s="31"/>
      <c r="U1333" s="31"/>
      <c r="V1333" s="31"/>
      <c r="W1333" s="31"/>
      <c r="X1333" s="31"/>
      <c r="Y1333" s="31"/>
      <c r="Z1333" s="31"/>
      <c r="AA1333" s="31"/>
      <c r="AB1333" s="31"/>
      <c r="AC1333" s="31"/>
      <c r="AD1333" s="31"/>
      <c r="AE1333" s="31"/>
      <c r="AF1333" s="31"/>
      <c r="AG1333" s="31"/>
    </row>
    <row r="1334" spans="1:33" s="32" customFormat="1" ht="15" customHeight="1">
      <c r="A1334" s="37">
        <v>43640</v>
      </c>
      <c r="B1334" s="20" t="s">
        <v>414</v>
      </c>
      <c r="C1334" s="20" t="s">
        <v>47</v>
      </c>
      <c r="D1334" s="20">
        <v>110</v>
      </c>
      <c r="E1334" s="38">
        <v>1750</v>
      </c>
      <c r="F1334" s="20" t="s">
        <v>8</v>
      </c>
      <c r="G1334" s="43">
        <v>4.5</v>
      </c>
      <c r="H1334" s="43">
        <v>5.85</v>
      </c>
      <c r="I1334" s="43">
        <v>0</v>
      </c>
      <c r="J1334" s="43">
        <v>0</v>
      </c>
      <c r="K1334" s="1">
        <f t="shared" si="2261"/>
        <v>2362.4999999999995</v>
      </c>
      <c r="L1334" s="43">
        <v>0</v>
      </c>
      <c r="M1334" s="43">
        <v>0</v>
      </c>
      <c r="N1334" s="1">
        <f t="shared" si="2251"/>
        <v>1.3499999999999996</v>
      </c>
      <c r="O1334" s="1">
        <f t="shared" si="2255"/>
        <v>2362.4999999999995</v>
      </c>
      <c r="P1334" s="31"/>
      <c r="Q1334" s="31"/>
      <c r="R1334" s="31"/>
      <c r="S1334" s="31"/>
      <c r="T1334" s="31"/>
      <c r="U1334" s="31"/>
      <c r="V1334" s="31"/>
      <c r="W1334" s="31"/>
      <c r="X1334" s="31"/>
      <c r="Y1334" s="31"/>
      <c r="Z1334" s="31"/>
      <c r="AA1334" s="31"/>
      <c r="AB1334" s="31"/>
      <c r="AC1334" s="31"/>
      <c r="AD1334" s="31"/>
      <c r="AE1334" s="31"/>
      <c r="AF1334" s="31"/>
      <c r="AG1334" s="31"/>
    </row>
    <row r="1335" spans="1:33" s="32" customFormat="1" ht="15" customHeight="1">
      <c r="A1335" s="37">
        <v>43640</v>
      </c>
      <c r="B1335" s="20" t="s">
        <v>26</v>
      </c>
      <c r="C1335" s="20" t="s">
        <v>46</v>
      </c>
      <c r="D1335" s="20">
        <v>490</v>
      </c>
      <c r="E1335" s="38">
        <v>1061</v>
      </c>
      <c r="F1335" s="20" t="s">
        <v>8</v>
      </c>
      <c r="G1335" s="43">
        <v>6.5</v>
      </c>
      <c r="H1335" s="43">
        <v>9</v>
      </c>
      <c r="I1335" s="43">
        <v>0</v>
      </c>
      <c r="J1335" s="43">
        <v>0</v>
      </c>
      <c r="K1335" s="1">
        <f t="shared" si="2261"/>
        <v>2652.5</v>
      </c>
      <c r="L1335" s="43">
        <v>0</v>
      </c>
      <c r="M1335" s="43">
        <v>0</v>
      </c>
      <c r="N1335" s="1">
        <f t="shared" si="2251"/>
        <v>2.5</v>
      </c>
      <c r="O1335" s="1">
        <f t="shared" si="2255"/>
        <v>2652.5</v>
      </c>
      <c r="P1335" s="31"/>
      <c r="Q1335" s="31"/>
      <c r="R1335" s="31"/>
      <c r="S1335" s="31"/>
      <c r="T1335" s="31"/>
      <c r="U1335" s="31"/>
      <c r="V1335" s="31"/>
      <c r="W1335" s="31"/>
      <c r="X1335" s="31"/>
      <c r="Y1335" s="31"/>
      <c r="Z1335" s="31"/>
      <c r="AA1335" s="31"/>
      <c r="AB1335" s="31"/>
      <c r="AC1335" s="31"/>
      <c r="AD1335" s="31"/>
      <c r="AE1335" s="31"/>
      <c r="AF1335" s="31"/>
      <c r="AG1335" s="31"/>
    </row>
    <row r="1336" spans="1:33" s="32" customFormat="1" ht="15" customHeight="1">
      <c r="A1336" s="37">
        <v>43640</v>
      </c>
      <c r="B1336" s="20" t="s">
        <v>424</v>
      </c>
      <c r="C1336" s="20" t="s">
        <v>47</v>
      </c>
      <c r="D1336" s="20">
        <v>1300</v>
      </c>
      <c r="E1336" s="38">
        <v>750</v>
      </c>
      <c r="F1336" s="20" t="s">
        <v>8</v>
      </c>
      <c r="G1336" s="43">
        <v>14</v>
      </c>
      <c r="H1336" s="43">
        <v>16</v>
      </c>
      <c r="I1336" s="43">
        <v>0</v>
      </c>
      <c r="J1336" s="43">
        <v>0</v>
      </c>
      <c r="K1336" s="1">
        <f t="shared" si="2261"/>
        <v>1500</v>
      </c>
      <c r="L1336" s="43">
        <v>0</v>
      </c>
      <c r="M1336" s="43">
        <v>0</v>
      </c>
      <c r="N1336" s="1">
        <f t="shared" si="2251"/>
        <v>2</v>
      </c>
      <c r="O1336" s="1">
        <f t="shared" si="2255"/>
        <v>1500</v>
      </c>
      <c r="P1336" s="31"/>
      <c r="Q1336" s="31"/>
      <c r="R1336" s="31"/>
      <c r="S1336" s="31"/>
      <c r="T1336" s="31"/>
      <c r="U1336" s="31"/>
      <c r="V1336" s="31"/>
      <c r="W1336" s="31"/>
      <c r="X1336" s="31"/>
      <c r="Y1336" s="31"/>
      <c r="Z1336" s="31"/>
      <c r="AA1336" s="31"/>
      <c r="AB1336" s="31"/>
      <c r="AC1336" s="31"/>
      <c r="AD1336" s="31"/>
      <c r="AE1336" s="31"/>
      <c r="AF1336" s="31"/>
      <c r="AG1336" s="31"/>
    </row>
    <row r="1337" spans="1:33" s="32" customFormat="1" ht="15" customHeight="1">
      <c r="A1337" s="37">
        <v>43640</v>
      </c>
      <c r="B1337" s="20" t="s">
        <v>107</v>
      </c>
      <c r="C1337" s="20" t="s">
        <v>46</v>
      </c>
      <c r="D1337" s="20">
        <v>380</v>
      </c>
      <c r="E1337" s="38">
        <v>1100</v>
      </c>
      <c r="F1337" s="20" t="s">
        <v>8</v>
      </c>
      <c r="G1337" s="43">
        <v>6.5</v>
      </c>
      <c r="H1337" s="43">
        <v>3.6</v>
      </c>
      <c r="I1337" s="43">
        <v>0</v>
      </c>
      <c r="J1337" s="43">
        <v>0</v>
      </c>
      <c r="K1337" s="1">
        <f t="shared" si="2261"/>
        <v>-3190</v>
      </c>
      <c r="L1337" s="43">
        <v>0</v>
      </c>
      <c r="M1337" s="43">
        <v>0</v>
      </c>
      <c r="N1337" s="1">
        <f t="shared" si="2251"/>
        <v>-2.9</v>
      </c>
      <c r="O1337" s="1">
        <f t="shared" si="2255"/>
        <v>-3190</v>
      </c>
      <c r="P1337" s="31"/>
      <c r="Q1337" s="31"/>
      <c r="R1337" s="31"/>
      <c r="S1337" s="31"/>
      <c r="T1337" s="31"/>
      <c r="U1337" s="31"/>
      <c r="V1337" s="31"/>
      <c r="W1337" s="31"/>
      <c r="X1337" s="31"/>
      <c r="Y1337" s="31"/>
      <c r="Z1337" s="31"/>
      <c r="AA1337" s="31"/>
      <c r="AB1337" s="31"/>
      <c r="AC1337" s="31"/>
      <c r="AD1337" s="31"/>
      <c r="AE1337" s="31"/>
      <c r="AF1337" s="31"/>
      <c r="AG1337" s="31"/>
    </row>
    <row r="1338" spans="1:33" s="32" customFormat="1" ht="15" customHeight="1">
      <c r="A1338" s="37">
        <v>43637</v>
      </c>
      <c r="B1338" s="20" t="s">
        <v>67</v>
      </c>
      <c r="C1338" s="20" t="s">
        <v>47</v>
      </c>
      <c r="D1338" s="20">
        <v>900</v>
      </c>
      <c r="E1338" s="38">
        <v>600</v>
      </c>
      <c r="F1338" s="20" t="s">
        <v>8</v>
      </c>
      <c r="G1338" s="43">
        <v>24.5</v>
      </c>
      <c r="H1338" s="43">
        <v>27</v>
      </c>
      <c r="I1338" s="43">
        <v>32</v>
      </c>
      <c r="J1338" s="43">
        <v>0</v>
      </c>
      <c r="K1338" s="1">
        <f t="shared" ref="K1338:K1341" si="2262">(IF(F1338="SELL",G1338-H1338,IF(F1338="BUY",H1338-G1338)))*E1338</f>
        <v>1500</v>
      </c>
      <c r="L1338" s="43">
        <f>E1338*5</f>
        <v>3000</v>
      </c>
      <c r="M1338" s="43">
        <v>0</v>
      </c>
      <c r="N1338" s="1">
        <f t="shared" si="2251"/>
        <v>7.5</v>
      </c>
      <c r="O1338" s="1">
        <f t="shared" si="2255"/>
        <v>4500</v>
      </c>
      <c r="P1338" s="31"/>
      <c r="Q1338" s="31"/>
      <c r="R1338" s="31"/>
      <c r="S1338" s="31"/>
      <c r="T1338" s="31"/>
      <c r="U1338" s="31"/>
      <c r="V1338" s="31"/>
      <c r="W1338" s="31"/>
      <c r="X1338" s="31"/>
      <c r="Y1338" s="31"/>
      <c r="Z1338" s="31"/>
      <c r="AA1338" s="31"/>
      <c r="AB1338" s="31"/>
      <c r="AC1338" s="31"/>
      <c r="AD1338" s="31"/>
      <c r="AE1338" s="31"/>
      <c r="AF1338" s="31"/>
      <c r="AG1338" s="31"/>
    </row>
    <row r="1339" spans="1:33" s="32" customFormat="1" ht="15" customHeight="1">
      <c r="A1339" s="37">
        <v>43637</v>
      </c>
      <c r="B1339" s="20" t="s">
        <v>406</v>
      </c>
      <c r="C1339" s="20" t="s">
        <v>47</v>
      </c>
      <c r="D1339" s="20">
        <v>390</v>
      </c>
      <c r="E1339" s="38">
        <v>1250</v>
      </c>
      <c r="F1339" s="20" t="s">
        <v>8</v>
      </c>
      <c r="G1339" s="43">
        <v>5.0999999999999996</v>
      </c>
      <c r="H1339" s="43">
        <v>6.05</v>
      </c>
      <c r="I1339" s="43">
        <v>0</v>
      </c>
      <c r="J1339" s="43">
        <v>0</v>
      </c>
      <c r="K1339" s="1">
        <f t="shared" si="2262"/>
        <v>1187.5000000000002</v>
      </c>
      <c r="L1339" s="43">
        <v>0</v>
      </c>
      <c r="M1339" s="43">
        <v>0</v>
      </c>
      <c r="N1339" s="1">
        <f t="shared" si="2251"/>
        <v>0.95000000000000018</v>
      </c>
      <c r="O1339" s="1">
        <f t="shared" si="2255"/>
        <v>1187.5000000000002</v>
      </c>
      <c r="P1339" s="31"/>
      <c r="Q1339" s="31"/>
      <c r="R1339" s="31"/>
      <c r="S1339" s="31"/>
      <c r="T1339" s="31"/>
      <c r="U1339" s="31"/>
      <c r="V1339" s="31"/>
      <c r="W1339" s="31"/>
      <c r="X1339" s="31"/>
      <c r="Y1339" s="31"/>
      <c r="Z1339" s="31"/>
      <c r="AA1339" s="31"/>
      <c r="AB1339" s="31"/>
      <c r="AC1339" s="31"/>
      <c r="AD1339" s="31"/>
      <c r="AE1339" s="31"/>
      <c r="AF1339" s="31"/>
      <c r="AG1339" s="31"/>
    </row>
    <row r="1340" spans="1:33" s="32" customFormat="1" ht="15" customHeight="1">
      <c r="A1340" s="37">
        <v>43637</v>
      </c>
      <c r="B1340" s="20" t="s">
        <v>21</v>
      </c>
      <c r="C1340" s="20" t="s">
        <v>47</v>
      </c>
      <c r="D1340" s="20">
        <v>350</v>
      </c>
      <c r="E1340" s="38">
        <v>3000</v>
      </c>
      <c r="F1340" s="20" t="s">
        <v>8</v>
      </c>
      <c r="G1340" s="43">
        <v>4</v>
      </c>
      <c r="H1340" s="43">
        <v>2.75</v>
      </c>
      <c r="I1340" s="43">
        <v>0</v>
      </c>
      <c r="J1340" s="43">
        <v>0</v>
      </c>
      <c r="K1340" s="1">
        <f t="shared" si="2262"/>
        <v>-3750</v>
      </c>
      <c r="L1340" s="43">
        <v>0</v>
      </c>
      <c r="M1340" s="43">
        <v>0</v>
      </c>
      <c r="N1340" s="1">
        <f t="shared" si="2251"/>
        <v>-1.25</v>
      </c>
      <c r="O1340" s="1">
        <f t="shared" si="2255"/>
        <v>-3750</v>
      </c>
      <c r="P1340" s="31"/>
      <c r="Q1340" s="31"/>
      <c r="R1340" s="31"/>
      <c r="S1340" s="31"/>
      <c r="T1340" s="31"/>
      <c r="U1340" s="31"/>
      <c r="V1340" s="31"/>
      <c r="W1340" s="31"/>
      <c r="X1340" s="31"/>
      <c r="Y1340" s="31"/>
      <c r="Z1340" s="31"/>
      <c r="AA1340" s="31"/>
      <c r="AB1340" s="31"/>
      <c r="AC1340" s="31"/>
      <c r="AD1340" s="31"/>
      <c r="AE1340" s="31"/>
      <c r="AF1340" s="31"/>
      <c r="AG1340" s="31"/>
    </row>
    <row r="1341" spans="1:33" s="32" customFormat="1" ht="15" customHeight="1">
      <c r="A1341" s="37">
        <v>43637</v>
      </c>
      <c r="B1341" s="20" t="s">
        <v>430</v>
      </c>
      <c r="C1341" s="20" t="s">
        <v>46</v>
      </c>
      <c r="D1341" s="20">
        <v>620</v>
      </c>
      <c r="E1341" s="38">
        <v>1000</v>
      </c>
      <c r="F1341" s="20" t="s">
        <v>8</v>
      </c>
      <c r="G1341" s="43">
        <v>7</v>
      </c>
      <c r="H1341" s="43">
        <v>4.4000000000000004</v>
      </c>
      <c r="I1341" s="43">
        <v>0</v>
      </c>
      <c r="J1341" s="43">
        <v>0</v>
      </c>
      <c r="K1341" s="1">
        <f t="shared" si="2262"/>
        <v>-2599.9999999999995</v>
      </c>
      <c r="L1341" s="43">
        <v>0</v>
      </c>
      <c r="M1341" s="43">
        <v>0</v>
      </c>
      <c r="N1341" s="1">
        <f t="shared" si="2251"/>
        <v>-2.5999999999999996</v>
      </c>
      <c r="O1341" s="1">
        <f t="shared" si="2255"/>
        <v>-2599.9999999999995</v>
      </c>
      <c r="P1341" s="31"/>
      <c r="Q1341" s="31"/>
      <c r="R1341" s="31"/>
      <c r="S1341" s="31"/>
      <c r="T1341" s="31"/>
      <c r="U1341" s="31"/>
      <c r="V1341" s="31"/>
      <c r="W1341" s="31"/>
      <c r="X1341" s="31"/>
      <c r="Y1341" s="31"/>
      <c r="Z1341" s="31"/>
      <c r="AA1341" s="31"/>
      <c r="AB1341" s="31"/>
      <c r="AC1341" s="31"/>
      <c r="AD1341" s="31"/>
      <c r="AE1341" s="31"/>
      <c r="AF1341" s="31"/>
      <c r="AG1341" s="31"/>
    </row>
    <row r="1342" spans="1:33" s="32" customFormat="1" ht="15" customHeight="1">
      <c r="A1342" s="37">
        <v>43636</v>
      </c>
      <c r="B1342" s="20" t="s">
        <v>369</v>
      </c>
      <c r="C1342" s="20" t="s">
        <v>47</v>
      </c>
      <c r="D1342" s="20">
        <v>260</v>
      </c>
      <c r="E1342" s="38">
        <v>2000</v>
      </c>
      <c r="F1342" s="20" t="s">
        <v>8</v>
      </c>
      <c r="G1342" s="43">
        <v>8</v>
      </c>
      <c r="H1342" s="43">
        <v>9.5</v>
      </c>
      <c r="I1342" s="43">
        <v>11.5</v>
      </c>
      <c r="J1342" s="43">
        <v>0</v>
      </c>
      <c r="K1342" s="1">
        <f>(IF(F1342="SELL",G1342-H1342,IF(F1342="BUY",H1342-G1342)))*E1342</f>
        <v>3000</v>
      </c>
      <c r="L1342" s="43">
        <f>E1342*2</f>
        <v>4000</v>
      </c>
      <c r="M1342" s="43">
        <v>0</v>
      </c>
      <c r="N1342" s="1">
        <f t="shared" si="2251"/>
        <v>3.5</v>
      </c>
      <c r="O1342" s="1">
        <f t="shared" si="2255"/>
        <v>7000</v>
      </c>
      <c r="P1342" s="31"/>
      <c r="Q1342" s="31"/>
      <c r="R1342" s="31"/>
      <c r="S1342" s="31"/>
      <c r="T1342" s="31"/>
      <c r="U1342" s="31"/>
      <c r="V1342" s="31"/>
      <c r="W1342" s="31"/>
      <c r="X1342" s="31"/>
      <c r="Y1342" s="31"/>
      <c r="Z1342" s="31"/>
      <c r="AA1342" s="31"/>
      <c r="AB1342" s="31"/>
      <c r="AC1342" s="31"/>
      <c r="AD1342" s="31"/>
      <c r="AE1342" s="31"/>
      <c r="AF1342" s="31"/>
      <c r="AG1342" s="31"/>
    </row>
    <row r="1343" spans="1:33" s="32" customFormat="1" ht="15" customHeight="1">
      <c r="A1343" s="37">
        <v>43636</v>
      </c>
      <c r="B1343" s="20" t="s">
        <v>22</v>
      </c>
      <c r="C1343" s="20" t="s">
        <v>47</v>
      </c>
      <c r="D1343" s="20">
        <v>175</v>
      </c>
      <c r="E1343" s="38">
        <v>2600</v>
      </c>
      <c r="F1343" s="20" t="s">
        <v>8</v>
      </c>
      <c r="G1343" s="43">
        <v>5.2</v>
      </c>
      <c r="H1343" s="43">
        <v>5.9</v>
      </c>
      <c r="I1343" s="43">
        <v>7.2</v>
      </c>
      <c r="J1343" s="43">
        <v>0</v>
      </c>
      <c r="K1343" s="1">
        <f t="shared" ref="K1343:K1345" si="2263">(IF(F1343="SELL",G1343-H1343,IF(F1343="BUY",H1343-G1343)))*E1343</f>
        <v>1820.0000000000005</v>
      </c>
      <c r="L1343" s="43">
        <f>E1343*1.3</f>
        <v>3380</v>
      </c>
      <c r="M1343" s="43">
        <v>0</v>
      </c>
      <c r="N1343" s="1">
        <f t="shared" si="2251"/>
        <v>2</v>
      </c>
      <c r="O1343" s="1">
        <f t="shared" si="2255"/>
        <v>5200</v>
      </c>
      <c r="P1343" s="31"/>
      <c r="Q1343" s="31"/>
      <c r="R1343" s="31"/>
      <c r="S1343" s="31"/>
      <c r="T1343" s="31"/>
      <c r="U1343" s="31"/>
      <c r="V1343" s="31"/>
      <c r="W1343" s="31"/>
      <c r="X1343" s="31"/>
      <c r="Y1343" s="31"/>
      <c r="Z1343" s="31"/>
      <c r="AA1343" s="31"/>
      <c r="AB1343" s="31"/>
      <c r="AC1343" s="31"/>
      <c r="AD1343" s="31"/>
      <c r="AE1343" s="31"/>
      <c r="AF1343" s="31"/>
      <c r="AG1343" s="31"/>
    </row>
    <row r="1344" spans="1:33" s="32" customFormat="1" ht="15" customHeight="1">
      <c r="A1344" s="37">
        <v>43636</v>
      </c>
      <c r="B1344" s="20" t="s">
        <v>414</v>
      </c>
      <c r="C1344" s="20" t="s">
        <v>47</v>
      </c>
      <c r="D1344" s="20">
        <v>100</v>
      </c>
      <c r="E1344" s="38">
        <v>1750</v>
      </c>
      <c r="F1344" s="20" t="s">
        <v>8</v>
      </c>
      <c r="G1344" s="43">
        <v>11</v>
      </c>
      <c r="H1344" s="43">
        <v>12</v>
      </c>
      <c r="I1344" s="43">
        <v>14</v>
      </c>
      <c r="J1344" s="43">
        <v>0</v>
      </c>
      <c r="K1344" s="1">
        <f t="shared" si="2263"/>
        <v>1750</v>
      </c>
      <c r="L1344" s="43">
        <f>E1344*2</f>
        <v>3500</v>
      </c>
      <c r="M1344" s="43">
        <v>0</v>
      </c>
      <c r="N1344" s="1">
        <f t="shared" si="2251"/>
        <v>3</v>
      </c>
      <c r="O1344" s="1">
        <f t="shared" si="2255"/>
        <v>5250</v>
      </c>
      <c r="P1344" s="31"/>
      <c r="Q1344" s="31"/>
      <c r="R1344" s="31"/>
      <c r="S1344" s="31"/>
      <c r="T1344" s="31"/>
      <c r="U1344" s="31"/>
      <c r="V1344" s="31"/>
      <c r="W1344" s="31"/>
      <c r="X1344" s="31"/>
      <c r="Y1344" s="31"/>
      <c r="Z1344" s="31"/>
      <c r="AA1344" s="31"/>
      <c r="AB1344" s="31"/>
      <c r="AC1344" s="31"/>
      <c r="AD1344" s="31"/>
      <c r="AE1344" s="31"/>
      <c r="AF1344" s="31"/>
      <c r="AG1344" s="31"/>
    </row>
    <row r="1345" spans="1:33" s="32" customFormat="1" ht="15" customHeight="1">
      <c r="A1345" s="37">
        <v>43636</v>
      </c>
      <c r="B1345" s="20" t="s">
        <v>410</v>
      </c>
      <c r="C1345" s="20" t="s">
        <v>46</v>
      </c>
      <c r="D1345" s="20">
        <v>1580</v>
      </c>
      <c r="E1345" s="38">
        <v>600</v>
      </c>
      <c r="F1345" s="20" t="s">
        <v>8</v>
      </c>
      <c r="G1345" s="43">
        <v>41</v>
      </c>
      <c r="H1345" s="43">
        <v>37</v>
      </c>
      <c r="I1345" s="43">
        <v>0</v>
      </c>
      <c r="J1345" s="43">
        <v>0</v>
      </c>
      <c r="K1345" s="1">
        <f t="shared" si="2263"/>
        <v>-2400</v>
      </c>
      <c r="L1345" s="43">
        <v>0</v>
      </c>
      <c r="M1345" s="43">
        <v>0</v>
      </c>
      <c r="N1345" s="1">
        <f t="shared" si="2251"/>
        <v>-4</v>
      </c>
      <c r="O1345" s="1">
        <f t="shared" si="2255"/>
        <v>-2400</v>
      </c>
      <c r="P1345" s="31"/>
      <c r="Q1345" s="31"/>
      <c r="R1345" s="31"/>
      <c r="S1345" s="31"/>
      <c r="T1345" s="31"/>
      <c r="U1345" s="31"/>
      <c r="V1345" s="31"/>
      <c r="W1345" s="31"/>
      <c r="X1345" s="31"/>
      <c r="Y1345" s="31"/>
      <c r="Z1345" s="31"/>
      <c r="AA1345" s="31"/>
      <c r="AB1345" s="31"/>
      <c r="AC1345" s="31"/>
      <c r="AD1345" s="31"/>
      <c r="AE1345" s="31"/>
      <c r="AF1345" s="31"/>
      <c r="AG1345" s="31"/>
    </row>
    <row r="1346" spans="1:33" s="32" customFormat="1" ht="15" customHeight="1">
      <c r="A1346" s="37">
        <v>43635</v>
      </c>
      <c r="B1346" s="20" t="s">
        <v>428</v>
      </c>
      <c r="C1346" s="20" t="s">
        <v>425</v>
      </c>
      <c r="D1346" s="20">
        <v>1420</v>
      </c>
      <c r="E1346" s="38">
        <v>300</v>
      </c>
      <c r="F1346" s="20" t="s">
        <v>8</v>
      </c>
      <c r="G1346" s="43">
        <v>39</v>
      </c>
      <c r="H1346" s="43">
        <v>45</v>
      </c>
      <c r="I1346" s="43">
        <v>55</v>
      </c>
      <c r="J1346" s="43">
        <v>65</v>
      </c>
      <c r="K1346" s="1">
        <f t="shared" ref="K1346:K1348" si="2264">(IF(F1346="SELL",G1346-H1346,IF(F1346="BUY",H1346-G1346)))*E1346</f>
        <v>1800</v>
      </c>
      <c r="L1346" s="43">
        <f>E1346*10</f>
        <v>3000</v>
      </c>
      <c r="M1346" s="43">
        <f>E1346*10</f>
        <v>3000</v>
      </c>
      <c r="N1346" s="1">
        <f t="shared" si="2251"/>
        <v>26</v>
      </c>
      <c r="O1346" s="1">
        <f t="shared" si="2255"/>
        <v>7800</v>
      </c>
      <c r="P1346" s="31"/>
      <c r="Q1346" s="31"/>
      <c r="R1346" s="31"/>
      <c r="S1346" s="31"/>
      <c r="T1346" s="31"/>
      <c r="U1346" s="31"/>
      <c r="V1346" s="31"/>
      <c r="W1346" s="31"/>
      <c r="X1346" s="31"/>
      <c r="Y1346" s="31"/>
      <c r="Z1346" s="31"/>
      <c r="AA1346" s="31"/>
      <c r="AB1346" s="31"/>
      <c r="AC1346" s="31"/>
      <c r="AD1346" s="31"/>
      <c r="AE1346" s="31"/>
      <c r="AF1346" s="31"/>
      <c r="AG1346" s="31"/>
    </row>
    <row r="1347" spans="1:33" s="32" customFormat="1" ht="15" customHeight="1">
      <c r="A1347" s="37">
        <v>43635</v>
      </c>
      <c r="B1347" s="20" t="s">
        <v>18</v>
      </c>
      <c r="C1347" s="20" t="s">
        <v>425</v>
      </c>
      <c r="D1347" s="20">
        <v>550</v>
      </c>
      <c r="E1347" s="38">
        <v>1000</v>
      </c>
      <c r="F1347" s="20" t="s">
        <v>8</v>
      </c>
      <c r="G1347" s="43">
        <v>8</v>
      </c>
      <c r="H1347" s="43">
        <v>10.5</v>
      </c>
      <c r="I1347" s="43">
        <v>14</v>
      </c>
      <c r="J1347" s="43">
        <v>0</v>
      </c>
      <c r="K1347" s="1">
        <f t="shared" si="2264"/>
        <v>2500</v>
      </c>
      <c r="L1347" s="43">
        <f>E1347*3.5</f>
        <v>3500</v>
      </c>
      <c r="M1347" s="43">
        <v>0</v>
      </c>
      <c r="N1347" s="1">
        <f t="shared" si="2251"/>
        <v>6</v>
      </c>
      <c r="O1347" s="1">
        <f t="shared" si="2255"/>
        <v>6000</v>
      </c>
      <c r="P1347" s="31"/>
      <c r="Q1347" s="31"/>
      <c r="R1347" s="31"/>
      <c r="S1347" s="31"/>
      <c r="T1347" s="31"/>
      <c r="U1347" s="31"/>
      <c r="V1347" s="31"/>
      <c r="W1347" s="31"/>
      <c r="X1347" s="31"/>
      <c r="Y1347" s="31"/>
      <c r="Z1347" s="31"/>
      <c r="AA1347" s="31"/>
      <c r="AB1347" s="31"/>
      <c r="AC1347" s="31"/>
      <c r="AD1347" s="31"/>
      <c r="AE1347" s="31"/>
      <c r="AF1347" s="31"/>
      <c r="AG1347" s="31"/>
    </row>
    <row r="1348" spans="1:33" s="32" customFormat="1" ht="15" customHeight="1">
      <c r="A1348" s="37">
        <v>43635</v>
      </c>
      <c r="B1348" s="20" t="s">
        <v>429</v>
      </c>
      <c r="C1348" s="20" t="s">
        <v>47</v>
      </c>
      <c r="D1348" s="20">
        <v>1060</v>
      </c>
      <c r="E1348" s="38">
        <v>600</v>
      </c>
      <c r="F1348" s="20" t="s">
        <v>8</v>
      </c>
      <c r="G1348" s="43">
        <v>27</v>
      </c>
      <c r="H1348" s="43">
        <v>29.5</v>
      </c>
      <c r="I1348" s="43">
        <v>0</v>
      </c>
      <c r="J1348" s="43">
        <v>0</v>
      </c>
      <c r="K1348" s="1">
        <f t="shared" si="2264"/>
        <v>1500</v>
      </c>
      <c r="L1348" s="43">
        <v>0</v>
      </c>
      <c r="M1348" s="43">
        <v>0</v>
      </c>
      <c r="N1348" s="1">
        <f t="shared" si="2251"/>
        <v>2.5</v>
      </c>
      <c r="O1348" s="1">
        <f t="shared" si="2255"/>
        <v>1500</v>
      </c>
      <c r="P1348" s="31"/>
      <c r="Q1348" s="31"/>
      <c r="R1348" s="31"/>
      <c r="S1348" s="31"/>
      <c r="T1348" s="31"/>
      <c r="U1348" s="31"/>
      <c r="V1348" s="31"/>
      <c r="W1348" s="31"/>
      <c r="X1348" s="31"/>
      <c r="Y1348" s="31"/>
      <c r="Z1348" s="31"/>
      <c r="AA1348" s="31"/>
      <c r="AB1348" s="31"/>
      <c r="AC1348" s="31"/>
      <c r="AD1348" s="31"/>
      <c r="AE1348" s="31"/>
      <c r="AF1348" s="31"/>
      <c r="AG1348" s="31"/>
    </row>
    <row r="1349" spans="1:33" s="32" customFormat="1" ht="15" customHeight="1">
      <c r="A1349" s="37">
        <v>43634</v>
      </c>
      <c r="B1349" s="20" t="s">
        <v>411</v>
      </c>
      <c r="C1349" s="20" t="s">
        <v>425</v>
      </c>
      <c r="D1349" s="20">
        <v>120</v>
      </c>
      <c r="E1349" s="38">
        <v>1750</v>
      </c>
      <c r="F1349" s="20" t="s">
        <v>8</v>
      </c>
      <c r="G1349" s="43">
        <v>8.8000000000000007</v>
      </c>
      <c r="H1349" s="43">
        <v>9.6999999999999993</v>
      </c>
      <c r="I1349" s="43">
        <v>11.5</v>
      </c>
      <c r="J1349" s="43">
        <v>0</v>
      </c>
      <c r="K1349" s="1">
        <f t="shared" ref="K1349:K1352" si="2265">(IF(F1349="SELL",G1349-H1349,IF(F1349="BUY",H1349-G1349)))*E1349</f>
        <v>1574.9999999999975</v>
      </c>
      <c r="L1349" s="43">
        <f>E1349*1.8</f>
        <v>3150</v>
      </c>
      <c r="M1349" s="43">
        <v>0</v>
      </c>
      <c r="N1349" s="1">
        <f t="shared" si="2251"/>
        <v>2.6999999999999984</v>
      </c>
      <c r="O1349" s="1">
        <f t="shared" si="2255"/>
        <v>4724.9999999999973</v>
      </c>
      <c r="P1349" s="31"/>
      <c r="Q1349" s="31"/>
      <c r="R1349" s="31"/>
      <c r="S1349" s="31"/>
      <c r="T1349" s="31"/>
      <c r="U1349" s="31"/>
      <c r="V1349" s="31"/>
      <c r="W1349" s="31"/>
      <c r="X1349" s="31"/>
      <c r="Y1349" s="31"/>
      <c r="Z1349" s="31"/>
      <c r="AA1349" s="31"/>
      <c r="AB1349" s="31"/>
      <c r="AC1349" s="31"/>
      <c r="AD1349" s="31"/>
      <c r="AE1349" s="31"/>
      <c r="AF1349" s="31"/>
      <c r="AG1349" s="31"/>
    </row>
    <row r="1350" spans="1:33" s="32" customFormat="1" ht="15" customHeight="1">
      <c r="A1350" s="37">
        <v>43634</v>
      </c>
      <c r="B1350" s="20" t="s">
        <v>427</v>
      </c>
      <c r="C1350" s="20" t="s">
        <v>47</v>
      </c>
      <c r="D1350" s="20">
        <v>1640</v>
      </c>
      <c r="E1350" s="38">
        <v>400</v>
      </c>
      <c r="F1350" s="20" t="s">
        <v>8</v>
      </c>
      <c r="G1350" s="43">
        <v>35</v>
      </c>
      <c r="H1350" s="43">
        <v>39</v>
      </c>
      <c r="I1350" s="43">
        <v>47</v>
      </c>
      <c r="J1350" s="43">
        <v>0</v>
      </c>
      <c r="K1350" s="1">
        <f t="shared" si="2265"/>
        <v>1600</v>
      </c>
      <c r="L1350" s="43">
        <f>E1350*8</f>
        <v>3200</v>
      </c>
      <c r="M1350" s="43">
        <v>0</v>
      </c>
      <c r="N1350" s="1">
        <f t="shared" si="2251"/>
        <v>12</v>
      </c>
      <c r="O1350" s="1">
        <f t="shared" si="2255"/>
        <v>4800</v>
      </c>
      <c r="P1350" s="31"/>
      <c r="Q1350" s="31"/>
      <c r="R1350" s="31"/>
      <c r="S1350" s="31"/>
      <c r="T1350" s="31"/>
      <c r="U1350" s="31"/>
      <c r="V1350" s="31"/>
      <c r="W1350" s="31"/>
      <c r="X1350" s="31"/>
      <c r="Y1350" s="31"/>
      <c r="Z1350" s="31"/>
      <c r="AA1350" s="31"/>
      <c r="AB1350" s="31"/>
      <c r="AC1350" s="31"/>
      <c r="AD1350" s="31"/>
      <c r="AE1350" s="31"/>
      <c r="AF1350" s="31"/>
      <c r="AG1350" s="31"/>
    </row>
    <row r="1351" spans="1:33" s="32" customFormat="1" ht="15" customHeight="1">
      <c r="A1351" s="37">
        <v>43634</v>
      </c>
      <c r="B1351" s="20" t="s">
        <v>424</v>
      </c>
      <c r="C1351" s="20" t="s">
        <v>425</v>
      </c>
      <c r="D1351" s="20">
        <v>1240</v>
      </c>
      <c r="E1351" s="38">
        <v>750</v>
      </c>
      <c r="F1351" s="20" t="s">
        <v>8</v>
      </c>
      <c r="G1351" s="43">
        <v>17</v>
      </c>
      <c r="H1351" s="43">
        <v>11</v>
      </c>
      <c r="I1351" s="43">
        <v>0</v>
      </c>
      <c r="J1351" s="43">
        <v>0</v>
      </c>
      <c r="K1351" s="1">
        <f t="shared" si="2265"/>
        <v>-4500</v>
      </c>
      <c r="L1351" s="43">
        <v>0</v>
      </c>
      <c r="M1351" s="43">
        <v>0</v>
      </c>
      <c r="N1351" s="1">
        <f t="shared" si="2251"/>
        <v>-6</v>
      </c>
      <c r="O1351" s="1">
        <f t="shared" si="2255"/>
        <v>-4500</v>
      </c>
      <c r="P1351" s="31"/>
      <c r="Q1351" s="31"/>
      <c r="R1351" s="31"/>
      <c r="S1351" s="31"/>
      <c r="T1351" s="31"/>
      <c r="U1351" s="31"/>
      <c r="V1351" s="31"/>
      <c r="W1351" s="31"/>
      <c r="X1351" s="31"/>
      <c r="Y1351" s="31"/>
      <c r="Z1351" s="31"/>
      <c r="AA1351" s="31"/>
      <c r="AB1351" s="31"/>
      <c r="AC1351" s="31"/>
      <c r="AD1351" s="31"/>
      <c r="AE1351" s="31"/>
      <c r="AF1351" s="31"/>
      <c r="AG1351" s="31"/>
    </row>
    <row r="1352" spans="1:33" s="32" customFormat="1" ht="15" customHeight="1">
      <c r="A1352" s="37">
        <v>43634</v>
      </c>
      <c r="B1352" s="20" t="s">
        <v>21</v>
      </c>
      <c r="C1352" s="20" t="s">
        <v>425</v>
      </c>
      <c r="D1352" s="20">
        <v>335</v>
      </c>
      <c r="E1352" s="38">
        <v>3000</v>
      </c>
      <c r="F1352" s="20" t="s">
        <v>8</v>
      </c>
      <c r="G1352" s="43">
        <v>5</v>
      </c>
      <c r="H1352" s="43">
        <v>3</v>
      </c>
      <c r="I1352" s="43">
        <v>0</v>
      </c>
      <c r="J1352" s="43">
        <v>0</v>
      </c>
      <c r="K1352" s="1">
        <f t="shared" si="2265"/>
        <v>-6000</v>
      </c>
      <c r="L1352" s="43">
        <v>0</v>
      </c>
      <c r="M1352" s="43">
        <v>0</v>
      </c>
      <c r="N1352" s="1">
        <f t="shared" si="2251"/>
        <v>-2</v>
      </c>
      <c r="O1352" s="1">
        <f t="shared" si="2255"/>
        <v>-6000</v>
      </c>
      <c r="P1352" s="31"/>
      <c r="Q1352" s="31"/>
      <c r="R1352" s="31"/>
      <c r="S1352" s="31"/>
      <c r="T1352" s="31"/>
      <c r="U1352" s="31"/>
      <c r="V1352" s="31"/>
      <c r="W1352" s="31"/>
      <c r="X1352" s="31"/>
      <c r="Y1352" s="31"/>
      <c r="Z1352" s="31"/>
      <c r="AA1352" s="31"/>
      <c r="AB1352" s="31"/>
      <c r="AC1352" s="31"/>
      <c r="AD1352" s="31"/>
      <c r="AE1352" s="31"/>
      <c r="AF1352" s="31"/>
      <c r="AG1352" s="31"/>
    </row>
    <row r="1353" spans="1:33" s="32" customFormat="1" ht="15" customHeight="1">
      <c r="A1353" s="37">
        <v>43633</v>
      </c>
      <c r="B1353" s="20" t="s">
        <v>26</v>
      </c>
      <c r="C1353" s="20" t="s">
        <v>425</v>
      </c>
      <c r="D1353" s="20">
        <v>490</v>
      </c>
      <c r="E1353" s="38">
        <v>1061</v>
      </c>
      <c r="F1353" s="20" t="s">
        <v>8</v>
      </c>
      <c r="G1353" s="43">
        <v>11</v>
      </c>
      <c r="H1353" s="43">
        <v>13.5</v>
      </c>
      <c r="I1353" s="43">
        <v>17</v>
      </c>
      <c r="J1353" s="43">
        <v>0</v>
      </c>
      <c r="K1353" s="1">
        <f t="shared" ref="K1353:K1355" si="2266">(IF(F1353="SELL",G1353-H1353,IF(F1353="BUY",H1353-G1353)))*E1353</f>
        <v>2652.5</v>
      </c>
      <c r="L1353" s="43">
        <f>E1353*3.5</f>
        <v>3713.5</v>
      </c>
      <c r="M1353" s="43">
        <v>0</v>
      </c>
      <c r="N1353" s="1">
        <f t="shared" si="2251"/>
        <v>6</v>
      </c>
      <c r="O1353" s="1">
        <f t="shared" si="2255"/>
        <v>6366</v>
      </c>
      <c r="P1353" s="31"/>
      <c r="Q1353" s="31"/>
      <c r="R1353" s="31"/>
      <c r="S1353" s="31"/>
      <c r="T1353" s="31"/>
      <c r="U1353" s="31"/>
      <c r="V1353" s="31"/>
      <c r="W1353" s="31"/>
      <c r="X1353" s="31"/>
      <c r="Y1353" s="31"/>
      <c r="Z1353" s="31"/>
      <c r="AA1353" s="31"/>
      <c r="AB1353" s="31"/>
      <c r="AC1353" s="31"/>
      <c r="AD1353" s="31"/>
      <c r="AE1353" s="31"/>
      <c r="AF1353" s="31"/>
      <c r="AG1353" s="31"/>
    </row>
    <row r="1354" spans="1:33" s="32" customFormat="1" ht="15" customHeight="1">
      <c r="A1354" s="37">
        <v>43633</v>
      </c>
      <c r="B1354" s="20" t="s">
        <v>424</v>
      </c>
      <c r="C1354" s="20" t="s">
        <v>425</v>
      </c>
      <c r="D1354" s="20">
        <v>1260</v>
      </c>
      <c r="E1354" s="38">
        <v>750</v>
      </c>
      <c r="F1354" s="20" t="s">
        <v>8</v>
      </c>
      <c r="G1354" s="43">
        <v>17.7</v>
      </c>
      <c r="H1354" s="43">
        <v>19.7</v>
      </c>
      <c r="I1354" s="43">
        <v>0</v>
      </c>
      <c r="J1354" s="43">
        <v>0</v>
      </c>
      <c r="K1354" s="1">
        <f t="shared" si="2266"/>
        <v>1500</v>
      </c>
      <c r="L1354" s="43">
        <v>0</v>
      </c>
      <c r="M1354" s="43">
        <v>0</v>
      </c>
      <c r="N1354" s="1">
        <f t="shared" si="2251"/>
        <v>2</v>
      </c>
      <c r="O1354" s="1">
        <f t="shared" si="2255"/>
        <v>1500</v>
      </c>
      <c r="P1354" s="31"/>
      <c r="Q1354" s="31"/>
      <c r="R1354" s="31"/>
      <c r="S1354" s="31"/>
      <c r="T1354" s="31"/>
      <c r="U1354" s="31"/>
      <c r="V1354" s="31"/>
      <c r="W1354" s="31"/>
      <c r="X1354" s="31"/>
      <c r="Y1354" s="31"/>
      <c r="Z1354" s="31"/>
      <c r="AA1354" s="31"/>
      <c r="AB1354" s="31"/>
      <c r="AC1354" s="31"/>
      <c r="AD1354" s="31"/>
      <c r="AE1354" s="31"/>
      <c r="AF1354" s="31"/>
      <c r="AG1354" s="31"/>
    </row>
    <row r="1355" spans="1:33" s="32" customFormat="1" ht="15" customHeight="1">
      <c r="A1355" s="37">
        <v>43633</v>
      </c>
      <c r="B1355" s="20" t="s">
        <v>107</v>
      </c>
      <c r="C1355" s="20" t="s">
        <v>425</v>
      </c>
      <c r="D1355" s="20">
        <v>390</v>
      </c>
      <c r="E1355" s="38">
        <v>1100</v>
      </c>
      <c r="F1355" s="20" t="s">
        <v>8</v>
      </c>
      <c r="G1355" s="43">
        <v>9</v>
      </c>
      <c r="H1355" s="43">
        <v>11.5</v>
      </c>
      <c r="I1355" s="43">
        <v>0</v>
      </c>
      <c r="J1355" s="43">
        <v>0</v>
      </c>
      <c r="K1355" s="1">
        <f t="shared" si="2266"/>
        <v>2750</v>
      </c>
      <c r="L1355" s="43">
        <v>0</v>
      </c>
      <c r="M1355" s="43">
        <v>0</v>
      </c>
      <c r="N1355" s="1">
        <f t="shared" si="2251"/>
        <v>2.5</v>
      </c>
      <c r="O1355" s="1">
        <f t="shared" si="2255"/>
        <v>2750</v>
      </c>
      <c r="P1355" s="31"/>
      <c r="Q1355" s="31"/>
      <c r="R1355" s="31"/>
      <c r="S1355" s="31"/>
      <c r="T1355" s="31"/>
      <c r="U1355" s="31"/>
      <c r="V1355" s="31"/>
      <c r="W1355" s="31"/>
      <c r="X1355" s="31"/>
      <c r="Y1355" s="31"/>
      <c r="Z1355" s="31"/>
      <c r="AA1355" s="31"/>
      <c r="AB1355" s="31"/>
      <c r="AC1355" s="31"/>
      <c r="AD1355" s="31"/>
      <c r="AE1355" s="31"/>
      <c r="AF1355" s="31"/>
      <c r="AG1355" s="31"/>
    </row>
    <row r="1356" spans="1:33" s="32" customFormat="1" ht="15" customHeight="1">
      <c r="A1356" s="37">
        <v>43630</v>
      </c>
      <c r="B1356" s="20" t="s">
        <v>296</v>
      </c>
      <c r="C1356" s="20" t="s">
        <v>425</v>
      </c>
      <c r="D1356" s="20">
        <v>1440</v>
      </c>
      <c r="E1356" s="38">
        <v>300</v>
      </c>
      <c r="F1356" s="20" t="s">
        <v>8</v>
      </c>
      <c r="G1356" s="43">
        <v>50</v>
      </c>
      <c r="H1356" s="43">
        <v>55</v>
      </c>
      <c r="I1356" s="43">
        <v>62.75</v>
      </c>
      <c r="J1356" s="43">
        <v>0</v>
      </c>
      <c r="K1356" s="1">
        <f t="shared" ref="K1356" si="2267">(IF(F1356="SELL",G1356-H1356,IF(F1356="BUY",H1356-G1356)))*E1356</f>
        <v>1500</v>
      </c>
      <c r="L1356" s="43">
        <f>E1356*7.75</f>
        <v>2325</v>
      </c>
      <c r="M1356" s="43">
        <v>0</v>
      </c>
      <c r="N1356" s="1">
        <f t="shared" si="2251"/>
        <v>12.75</v>
      </c>
      <c r="O1356" s="1">
        <f t="shared" si="2255"/>
        <v>3825</v>
      </c>
      <c r="P1356" s="31"/>
      <c r="Q1356" s="31"/>
      <c r="R1356" s="31"/>
      <c r="S1356" s="31"/>
      <c r="T1356" s="31"/>
      <c r="U1356" s="31"/>
      <c r="V1356" s="31"/>
      <c r="W1356" s="31"/>
      <c r="X1356" s="31"/>
      <c r="Y1356" s="31"/>
      <c r="Z1356" s="31"/>
      <c r="AA1356" s="31"/>
      <c r="AB1356" s="31"/>
      <c r="AC1356" s="31"/>
      <c r="AD1356" s="31"/>
      <c r="AE1356" s="31"/>
      <c r="AF1356" s="31"/>
      <c r="AG1356" s="31"/>
    </row>
    <row r="1357" spans="1:33" s="32" customFormat="1" ht="15" customHeight="1">
      <c r="A1357" s="37">
        <v>43630</v>
      </c>
      <c r="B1357" s="20" t="s">
        <v>11</v>
      </c>
      <c r="C1357" s="20" t="s">
        <v>425</v>
      </c>
      <c r="D1357" s="20">
        <v>900</v>
      </c>
      <c r="E1357" s="38">
        <v>500</v>
      </c>
      <c r="F1357" s="20" t="s">
        <v>8</v>
      </c>
      <c r="G1357" s="43">
        <v>29</v>
      </c>
      <c r="H1357" s="43">
        <v>32.5</v>
      </c>
      <c r="I1357" s="43">
        <v>0</v>
      </c>
      <c r="J1357" s="43">
        <v>0</v>
      </c>
      <c r="K1357" s="1">
        <f t="shared" ref="K1357:K1359" si="2268">(IF(F1357="SELL",G1357-H1357,IF(F1357="BUY",H1357-G1357)))*E1357</f>
        <v>1750</v>
      </c>
      <c r="L1357" s="43">
        <v>0</v>
      </c>
      <c r="M1357" s="43">
        <v>0</v>
      </c>
      <c r="N1357" s="1">
        <f t="shared" si="2251"/>
        <v>3.5</v>
      </c>
      <c r="O1357" s="1">
        <f t="shared" si="2255"/>
        <v>1750</v>
      </c>
      <c r="P1357" s="31"/>
      <c r="Q1357" s="31"/>
      <c r="R1357" s="31"/>
      <c r="S1357" s="31"/>
      <c r="T1357" s="31"/>
      <c r="U1357" s="31"/>
      <c r="V1357" s="31"/>
      <c r="W1357" s="31"/>
      <c r="X1357" s="31"/>
      <c r="Y1357" s="31"/>
      <c r="Z1357" s="31"/>
      <c r="AA1357" s="31"/>
      <c r="AB1357" s="31"/>
      <c r="AC1357" s="31"/>
      <c r="AD1357" s="31"/>
      <c r="AE1357" s="31"/>
      <c r="AF1357" s="31"/>
      <c r="AG1357" s="31"/>
    </row>
    <row r="1358" spans="1:33" s="32" customFormat="1" ht="15" customHeight="1">
      <c r="A1358" s="37">
        <v>43630</v>
      </c>
      <c r="B1358" s="20" t="s">
        <v>426</v>
      </c>
      <c r="C1358" s="20" t="s">
        <v>425</v>
      </c>
      <c r="D1358" s="20">
        <v>240</v>
      </c>
      <c r="E1358" s="38">
        <v>1600</v>
      </c>
      <c r="F1358" s="20" t="s">
        <v>8</v>
      </c>
      <c r="G1358" s="43">
        <v>3.5</v>
      </c>
      <c r="H1358" s="43">
        <v>1.9</v>
      </c>
      <c r="I1358" s="43">
        <v>0</v>
      </c>
      <c r="J1358" s="43">
        <v>0</v>
      </c>
      <c r="K1358" s="1">
        <f t="shared" si="2268"/>
        <v>-2560</v>
      </c>
      <c r="L1358" s="43">
        <v>0</v>
      </c>
      <c r="M1358" s="43">
        <v>0</v>
      </c>
      <c r="N1358" s="1">
        <f t="shared" si="2251"/>
        <v>-1.6</v>
      </c>
      <c r="O1358" s="1">
        <f t="shared" si="2255"/>
        <v>-2560</v>
      </c>
      <c r="P1358" s="31"/>
      <c r="Q1358" s="31"/>
      <c r="R1358" s="31"/>
      <c r="S1358" s="31"/>
      <c r="T1358" s="31"/>
      <c r="U1358" s="31"/>
      <c r="V1358" s="31"/>
      <c r="W1358" s="31"/>
      <c r="X1358" s="31"/>
      <c r="Y1358" s="31"/>
      <c r="Z1358" s="31"/>
      <c r="AA1358" s="31"/>
      <c r="AB1358" s="31"/>
      <c r="AC1358" s="31"/>
      <c r="AD1358" s="31"/>
      <c r="AE1358" s="31"/>
      <c r="AF1358" s="31"/>
      <c r="AG1358" s="31"/>
    </row>
    <row r="1359" spans="1:33" s="32" customFormat="1" ht="15" customHeight="1">
      <c r="A1359" s="37">
        <v>43630</v>
      </c>
      <c r="B1359" s="20" t="s">
        <v>71</v>
      </c>
      <c r="C1359" s="20" t="s">
        <v>47</v>
      </c>
      <c r="D1359" s="20">
        <v>270</v>
      </c>
      <c r="E1359" s="38">
        <v>1500</v>
      </c>
      <c r="F1359" s="20" t="s">
        <v>8</v>
      </c>
      <c r="G1359" s="43">
        <v>10</v>
      </c>
      <c r="H1359" s="43">
        <v>8.5</v>
      </c>
      <c r="I1359" s="43">
        <v>0</v>
      </c>
      <c r="J1359" s="43">
        <v>0</v>
      </c>
      <c r="K1359" s="1">
        <f t="shared" si="2268"/>
        <v>-2250</v>
      </c>
      <c r="L1359" s="43">
        <v>0</v>
      </c>
      <c r="M1359" s="43">
        <v>0</v>
      </c>
      <c r="N1359" s="1">
        <f t="shared" si="2251"/>
        <v>-1.5</v>
      </c>
      <c r="O1359" s="1">
        <f t="shared" si="2255"/>
        <v>-2250</v>
      </c>
      <c r="P1359" s="31"/>
      <c r="Q1359" s="31"/>
      <c r="R1359" s="31"/>
      <c r="S1359" s="31"/>
      <c r="T1359" s="31"/>
      <c r="U1359" s="31"/>
      <c r="V1359" s="31"/>
      <c r="W1359" s="31"/>
      <c r="X1359" s="31"/>
      <c r="Y1359" s="31"/>
      <c r="Z1359" s="31"/>
      <c r="AA1359" s="31"/>
      <c r="AB1359" s="31"/>
      <c r="AC1359" s="31"/>
      <c r="AD1359" s="31"/>
      <c r="AE1359" s="31"/>
      <c r="AF1359" s="31"/>
      <c r="AG1359" s="31"/>
    </row>
    <row r="1360" spans="1:33" s="32" customFormat="1" ht="15" customHeight="1">
      <c r="A1360" s="37">
        <v>43629</v>
      </c>
      <c r="B1360" s="20" t="s">
        <v>414</v>
      </c>
      <c r="C1360" s="20" t="s">
        <v>425</v>
      </c>
      <c r="D1360" s="20">
        <v>130</v>
      </c>
      <c r="E1360" s="38">
        <v>1750</v>
      </c>
      <c r="F1360" s="20" t="s">
        <v>8</v>
      </c>
      <c r="G1360" s="43">
        <v>13</v>
      </c>
      <c r="H1360" s="43">
        <v>14</v>
      </c>
      <c r="I1360" s="43">
        <v>16</v>
      </c>
      <c r="J1360" s="43">
        <v>0</v>
      </c>
      <c r="K1360" s="1">
        <f t="shared" ref="K1360:K1361" si="2269">(IF(F1360="SELL",G1360-H1360,IF(F1360="BUY",H1360-G1360)))*E1360</f>
        <v>1750</v>
      </c>
      <c r="L1360" s="43">
        <f>E1360*2</f>
        <v>3500</v>
      </c>
      <c r="M1360" s="43">
        <v>0</v>
      </c>
      <c r="N1360" s="1">
        <f t="shared" si="2251"/>
        <v>3</v>
      </c>
      <c r="O1360" s="1">
        <f t="shared" si="2255"/>
        <v>5250</v>
      </c>
      <c r="P1360" s="31"/>
      <c r="Q1360" s="31"/>
      <c r="R1360" s="31"/>
      <c r="S1360" s="31"/>
      <c r="T1360" s="31"/>
      <c r="U1360" s="31"/>
      <c r="V1360" s="31"/>
      <c r="W1360" s="31"/>
      <c r="X1360" s="31"/>
      <c r="Y1360" s="31"/>
      <c r="Z1360" s="31"/>
      <c r="AA1360" s="31"/>
      <c r="AB1360" s="31"/>
      <c r="AC1360" s="31"/>
      <c r="AD1360" s="31"/>
      <c r="AE1360" s="31"/>
      <c r="AF1360" s="31"/>
      <c r="AG1360" s="31"/>
    </row>
    <row r="1361" spans="1:33" s="32" customFormat="1" ht="15" customHeight="1">
      <c r="A1361" s="37">
        <v>43629</v>
      </c>
      <c r="B1361" s="20" t="s">
        <v>89</v>
      </c>
      <c r="C1361" s="20" t="s">
        <v>425</v>
      </c>
      <c r="D1361" s="20">
        <v>580</v>
      </c>
      <c r="E1361" s="38">
        <v>1100</v>
      </c>
      <c r="F1361" s="20" t="s">
        <v>8</v>
      </c>
      <c r="G1361" s="43">
        <v>20</v>
      </c>
      <c r="H1361" s="43">
        <v>21.5</v>
      </c>
      <c r="I1361" s="43">
        <v>0</v>
      </c>
      <c r="J1361" s="43">
        <v>0</v>
      </c>
      <c r="K1361" s="1">
        <f t="shared" si="2269"/>
        <v>1650</v>
      </c>
      <c r="L1361" s="43">
        <v>0</v>
      </c>
      <c r="M1361" s="43">
        <v>0</v>
      </c>
      <c r="N1361" s="1">
        <f t="shared" si="2251"/>
        <v>1.5</v>
      </c>
      <c r="O1361" s="1">
        <f t="shared" si="2255"/>
        <v>1650</v>
      </c>
      <c r="P1361" s="31"/>
      <c r="Q1361" s="31"/>
      <c r="R1361" s="31"/>
      <c r="S1361" s="31"/>
      <c r="T1361" s="31"/>
      <c r="U1361" s="31"/>
      <c r="V1361" s="31"/>
      <c r="W1361" s="31"/>
      <c r="X1361" s="31"/>
      <c r="Y1361" s="31"/>
      <c r="Z1361" s="31"/>
      <c r="AA1361" s="31"/>
      <c r="AB1361" s="31"/>
      <c r="AC1361" s="31"/>
      <c r="AD1361" s="31"/>
      <c r="AE1361" s="31"/>
      <c r="AF1361" s="31"/>
      <c r="AG1361" s="31"/>
    </row>
    <row r="1362" spans="1:33" s="32" customFormat="1" ht="15" customHeight="1">
      <c r="A1362" s="37">
        <v>43628</v>
      </c>
      <c r="B1362" s="20" t="s">
        <v>34</v>
      </c>
      <c r="C1362" s="20" t="s">
        <v>47</v>
      </c>
      <c r="D1362" s="20">
        <v>200</v>
      </c>
      <c r="E1362" s="38">
        <v>3500</v>
      </c>
      <c r="F1362" s="20" t="s">
        <v>8</v>
      </c>
      <c r="G1362" s="43">
        <v>5.4</v>
      </c>
      <c r="H1362" s="43">
        <v>6.2</v>
      </c>
      <c r="I1362" s="43">
        <v>0</v>
      </c>
      <c r="J1362" s="43">
        <v>0</v>
      </c>
      <c r="K1362" s="1">
        <f t="shared" ref="K1362:K1366" si="2270">(IF(F1362="SELL",G1362-H1362,IF(F1362="BUY",H1362-G1362)))*E1362</f>
        <v>2799.9999999999995</v>
      </c>
      <c r="L1362" s="43">
        <v>0</v>
      </c>
      <c r="M1362" s="43">
        <v>0</v>
      </c>
      <c r="N1362" s="1">
        <f t="shared" si="2251"/>
        <v>0.79999999999999982</v>
      </c>
      <c r="O1362" s="1">
        <f t="shared" si="2255"/>
        <v>2799.9999999999995</v>
      </c>
      <c r="P1362" s="31"/>
      <c r="Q1362" s="31"/>
      <c r="R1362" s="31"/>
      <c r="S1362" s="31"/>
      <c r="T1362" s="31"/>
      <c r="U1362" s="31"/>
      <c r="V1362" s="31"/>
      <c r="W1362" s="31"/>
      <c r="X1362" s="31"/>
      <c r="Y1362" s="31"/>
      <c r="Z1362" s="31"/>
      <c r="AA1362" s="31"/>
      <c r="AB1362" s="31"/>
      <c r="AC1362" s="31"/>
      <c r="AD1362" s="31"/>
      <c r="AE1362" s="31"/>
      <c r="AF1362" s="31"/>
      <c r="AG1362" s="31"/>
    </row>
    <row r="1363" spans="1:33" s="32" customFormat="1" ht="15" customHeight="1">
      <c r="A1363" s="37">
        <v>43628</v>
      </c>
      <c r="B1363" s="20" t="s">
        <v>98</v>
      </c>
      <c r="C1363" s="20" t="s">
        <v>46</v>
      </c>
      <c r="D1363" s="20">
        <v>260</v>
      </c>
      <c r="E1363" s="38">
        <v>1800</v>
      </c>
      <c r="F1363" s="20" t="s">
        <v>8</v>
      </c>
      <c r="G1363" s="43">
        <v>5.6</v>
      </c>
      <c r="H1363" s="43">
        <v>6.6</v>
      </c>
      <c r="I1363" s="43">
        <v>8.1</v>
      </c>
      <c r="J1363" s="43">
        <v>0</v>
      </c>
      <c r="K1363" s="1">
        <f t="shared" si="2270"/>
        <v>1800</v>
      </c>
      <c r="L1363" s="43">
        <f>E1363*1.5</f>
        <v>2700</v>
      </c>
      <c r="M1363" s="43">
        <v>0</v>
      </c>
      <c r="N1363" s="1">
        <f t="shared" si="2251"/>
        <v>2.5</v>
      </c>
      <c r="O1363" s="1">
        <f t="shared" si="2255"/>
        <v>4500</v>
      </c>
      <c r="P1363" s="31"/>
      <c r="Q1363" s="31"/>
      <c r="R1363" s="31"/>
      <c r="S1363" s="31"/>
      <c r="T1363" s="31"/>
      <c r="U1363" s="31"/>
      <c r="V1363" s="31"/>
      <c r="W1363" s="31"/>
      <c r="X1363" s="31"/>
      <c r="Y1363" s="31"/>
      <c r="Z1363" s="31"/>
      <c r="AA1363" s="31"/>
      <c r="AB1363" s="31"/>
      <c r="AC1363" s="31"/>
      <c r="AD1363" s="31"/>
      <c r="AE1363" s="31"/>
      <c r="AF1363" s="31"/>
      <c r="AG1363" s="31"/>
    </row>
    <row r="1364" spans="1:33" s="32" customFormat="1" ht="15" customHeight="1">
      <c r="A1364" s="37">
        <v>43628</v>
      </c>
      <c r="B1364" s="20" t="s">
        <v>424</v>
      </c>
      <c r="C1364" s="20" t="s">
        <v>47</v>
      </c>
      <c r="D1364" s="20">
        <v>1280</v>
      </c>
      <c r="E1364" s="38">
        <v>750</v>
      </c>
      <c r="F1364" s="20" t="s">
        <v>8</v>
      </c>
      <c r="G1364" s="43">
        <v>28.8</v>
      </c>
      <c r="H1364" s="43">
        <v>25.8</v>
      </c>
      <c r="I1364" s="43">
        <v>0</v>
      </c>
      <c r="J1364" s="43">
        <v>0</v>
      </c>
      <c r="K1364" s="1">
        <f t="shared" si="2270"/>
        <v>-2250</v>
      </c>
      <c r="L1364" s="43">
        <v>0</v>
      </c>
      <c r="M1364" s="43">
        <v>0</v>
      </c>
      <c r="N1364" s="1">
        <f t="shared" si="2251"/>
        <v>-3</v>
      </c>
      <c r="O1364" s="1">
        <f t="shared" si="2255"/>
        <v>-2250</v>
      </c>
      <c r="P1364" s="31"/>
      <c r="Q1364" s="31"/>
      <c r="R1364" s="31"/>
      <c r="S1364" s="31"/>
      <c r="T1364" s="31"/>
      <c r="U1364" s="31"/>
      <c r="V1364" s="31"/>
      <c r="W1364" s="31"/>
      <c r="X1364" s="31"/>
      <c r="Y1364" s="31"/>
      <c r="Z1364" s="31"/>
      <c r="AA1364" s="31"/>
      <c r="AB1364" s="31"/>
      <c r="AC1364" s="31"/>
      <c r="AD1364" s="31"/>
      <c r="AE1364" s="31"/>
      <c r="AF1364" s="31"/>
      <c r="AG1364" s="31"/>
    </row>
    <row r="1365" spans="1:33" s="32" customFormat="1" ht="15" customHeight="1">
      <c r="A1365" s="37">
        <v>43628</v>
      </c>
      <c r="B1365" s="20" t="s">
        <v>10</v>
      </c>
      <c r="C1365" s="20" t="s">
        <v>46</v>
      </c>
      <c r="D1365" s="20">
        <v>780</v>
      </c>
      <c r="E1365" s="38">
        <v>1000</v>
      </c>
      <c r="F1365" s="20" t="s">
        <v>8</v>
      </c>
      <c r="G1365" s="43">
        <v>19</v>
      </c>
      <c r="H1365" s="43">
        <v>15</v>
      </c>
      <c r="I1365" s="43">
        <v>0</v>
      </c>
      <c r="J1365" s="43">
        <v>0</v>
      </c>
      <c r="K1365" s="1">
        <f t="shared" si="2270"/>
        <v>-4000</v>
      </c>
      <c r="L1365" s="43">
        <v>0</v>
      </c>
      <c r="M1365" s="43">
        <v>0</v>
      </c>
      <c r="N1365" s="1">
        <f t="shared" ref="N1365:N1428" si="2271">(L1365+K1365+M1365)/E1365</f>
        <v>-4</v>
      </c>
      <c r="O1365" s="1">
        <f t="shared" si="2255"/>
        <v>-4000</v>
      </c>
      <c r="P1365" s="31"/>
      <c r="Q1365" s="31"/>
      <c r="R1365" s="31"/>
      <c r="S1365" s="31"/>
      <c r="T1365" s="31"/>
      <c r="U1365" s="31"/>
      <c r="V1365" s="31"/>
      <c r="W1365" s="31"/>
      <c r="X1365" s="31"/>
      <c r="Y1365" s="31"/>
      <c r="Z1365" s="31"/>
      <c r="AA1365" s="31"/>
      <c r="AB1365" s="31"/>
      <c r="AC1365" s="31"/>
      <c r="AD1365" s="31"/>
      <c r="AE1365" s="31"/>
      <c r="AF1365" s="31"/>
      <c r="AG1365" s="31"/>
    </row>
    <row r="1366" spans="1:33" s="32" customFormat="1" ht="15" customHeight="1">
      <c r="A1366" s="37">
        <v>43628</v>
      </c>
      <c r="B1366" s="20" t="s">
        <v>60</v>
      </c>
      <c r="C1366" s="20" t="s">
        <v>47</v>
      </c>
      <c r="D1366" s="20">
        <v>170</v>
      </c>
      <c r="E1366" s="38">
        <v>2300</v>
      </c>
      <c r="F1366" s="20" t="s">
        <v>8</v>
      </c>
      <c r="G1366" s="43">
        <v>7</v>
      </c>
      <c r="H1366" s="43">
        <v>5</v>
      </c>
      <c r="I1366" s="43">
        <v>0</v>
      </c>
      <c r="J1366" s="43">
        <v>0</v>
      </c>
      <c r="K1366" s="1">
        <f t="shared" si="2270"/>
        <v>-4600</v>
      </c>
      <c r="L1366" s="43">
        <v>0</v>
      </c>
      <c r="M1366" s="43">
        <v>0</v>
      </c>
      <c r="N1366" s="1">
        <f t="shared" si="2271"/>
        <v>-2</v>
      </c>
      <c r="O1366" s="1">
        <f t="shared" si="2255"/>
        <v>-4600</v>
      </c>
      <c r="P1366" s="31"/>
      <c r="Q1366" s="31"/>
      <c r="R1366" s="31"/>
      <c r="S1366" s="31"/>
      <c r="T1366" s="31"/>
      <c r="U1366" s="31"/>
      <c r="V1366" s="31"/>
      <c r="W1366" s="31"/>
      <c r="X1366" s="31"/>
      <c r="Y1366" s="31"/>
      <c r="Z1366" s="31"/>
      <c r="AA1366" s="31"/>
      <c r="AB1366" s="31"/>
      <c r="AC1366" s="31"/>
      <c r="AD1366" s="31"/>
      <c r="AE1366" s="31"/>
      <c r="AF1366" s="31"/>
      <c r="AG1366" s="31"/>
    </row>
    <row r="1367" spans="1:33" s="32" customFormat="1" ht="15" customHeight="1">
      <c r="A1367" s="37">
        <v>43627</v>
      </c>
      <c r="B1367" s="20" t="s">
        <v>423</v>
      </c>
      <c r="C1367" s="20" t="s">
        <v>47</v>
      </c>
      <c r="D1367" s="20">
        <v>640</v>
      </c>
      <c r="E1367" s="38">
        <v>1000</v>
      </c>
      <c r="F1367" s="20" t="s">
        <v>8</v>
      </c>
      <c r="G1367" s="43">
        <v>20.5</v>
      </c>
      <c r="H1367" s="43">
        <v>22</v>
      </c>
      <c r="I1367" s="43">
        <v>24.6</v>
      </c>
      <c r="J1367" s="43">
        <v>0</v>
      </c>
      <c r="K1367" s="1">
        <f t="shared" ref="K1367:K1371" si="2272">(IF(F1367="SELL",G1367-H1367,IF(F1367="BUY",H1367-G1367)))*E1367</f>
        <v>1500</v>
      </c>
      <c r="L1367" s="43">
        <f>E1367*2.6</f>
        <v>2600</v>
      </c>
      <c r="M1367" s="43">
        <v>0</v>
      </c>
      <c r="N1367" s="1">
        <f t="shared" si="2271"/>
        <v>4.0999999999999996</v>
      </c>
      <c r="O1367" s="1">
        <f t="shared" si="2255"/>
        <v>4100</v>
      </c>
      <c r="P1367" s="31"/>
      <c r="Q1367" s="31"/>
      <c r="R1367" s="31"/>
      <c r="S1367" s="31"/>
      <c r="T1367" s="31"/>
      <c r="U1367" s="31"/>
      <c r="V1367" s="31"/>
      <c r="W1367" s="31"/>
      <c r="X1367" s="31"/>
      <c r="Y1367" s="31"/>
      <c r="Z1367" s="31"/>
      <c r="AA1367" s="31"/>
      <c r="AB1367" s="31"/>
      <c r="AC1367" s="31"/>
      <c r="AD1367" s="31"/>
      <c r="AE1367" s="31"/>
      <c r="AF1367" s="31"/>
      <c r="AG1367" s="31"/>
    </row>
    <row r="1368" spans="1:33" s="32" customFormat="1" ht="15" customHeight="1">
      <c r="A1368" s="37">
        <v>43627</v>
      </c>
      <c r="B1368" s="20" t="s">
        <v>54</v>
      </c>
      <c r="C1368" s="20" t="s">
        <v>46</v>
      </c>
      <c r="D1368" s="20">
        <v>520</v>
      </c>
      <c r="E1368" s="38">
        <v>1000</v>
      </c>
      <c r="F1368" s="20" t="s">
        <v>8</v>
      </c>
      <c r="G1368" s="43">
        <v>17.5</v>
      </c>
      <c r="H1368" s="43">
        <v>20</v>
      </c>
      <c r="I1368" s="43">
        <v>0</v>
      </c>
      <c r="J1368" s="43">
        <v>0</v>
      </c>
      <c r="K1368" s="1">
        <f t="shared" si="2272"/>
        <v>2500</v>
      </c>
      <c r="L1368" s="43">
        <v>0</v>
      </c>
      <c r="M1368" s="43">
        <v>0</v>
      </c>
      <c r="N1368" s="1">
        <f t="shared" si="2271"/>
        <v>2.5</v>
      </c>
      <c r="O1368" s="1">
        <f t="shared" si="2255"/>
        <v>2500</v>
      </c>
      <c r="P1368" s="31"/>
      <c r="Q1368" s="31"/>
      <c r="R1368" s="31"/>
      <c r="S1368" s="31"/>
      <c r="T1368" s="31"/>
      <c r="U1368" s="31"/>
      <c r="V1368" s="31"/>
      <c r="W1368" s="31"/>
      <c r="X1368" s="31"/>
      <c r="Y1368" s="31"/>
      <c r="Z1368" s="31"/>
      <c r="AA1368" s="31"/>
      <c r="AB1368" s="31"/>
      <c r="AC1368" s="31"/>
      <c r="AD1368" s="31"/>
      <c r="AE1368" s="31"/>
      <c r="AF1368" s="31"/>
      <c r="AG1368" s="31"/>
    </row>
    <row r="1369" spans="1:33" s="32" customFormat="1" ht="15" customHeight="1">
      <c r="A1369" s="37">
        <v>43627</v>
      </c>
      <c r="B1369" s="20" t="s">
        <v>414</v>
      </c>
      <c r="C1369" s="20" t="s">
        <v>47</v>
      </c>
      <c r="D1369" s="20">
        <v>140</v>
      </c>
      <c r="E1369" s="38">
        <v>1750</v>
      </c>
      <c r="F1369" s="20" t="s">
        <v>8</v>
      </c>
      <c r="G1369" s="43">
        <v>8.1</v>
      </c>
      <c r="H1369" s="43">
        <v>9</v>
      </c>
      <c r="I1369" s="43">
        <v>0</v>
      </c>
      <c r="J1369" s="43">
        <v>0</v>
      </c>
      <c r="K1369" s="1">
        <f t="shared" si="2272"/>
        <v>1575.0000000000007</v>
      </c>
      <c r="L1369" s="43">
        <v>0</v>
      </c>
      <c r="M1369" s="43">
        <v>0</v>
      </c>
      <c r="N1369" s="1">
        <f t="shared" si="2271"/>
        <v>0.90000000000000036</v>
      </c>
      <c r="O1369" s="1">
        <f t="shared" si="2255"/>
        <v>1575.0000000000007</v>
      </c>
      <c r="P1369" s="31"/>
      <c r="Q1369" s="31"/>
      <c r="R1369" s="31"/>
      <c r="S1369" s="31"/>
      <c r="T1369" s="31"/>
      <c r="U1369" s="31"/>
      <c r="V1369" s="31"/>
      <c r="W1369" s="31"/>
      <c r="X1369" s="31"/>
      <c r="Y1369" s="31"/>
      <c r="Z1369" s="31"/>
      <c r="AA1369" s="31"/>
      <c r="AB1369" s="31"/>
      <c r="AC1369" s="31"/>
      <c r="AD1369" s="31"/>
      <c r="AE1369" s="31"/>
      <c r="AF1369" s="31"/>
      <c r="AG1369" s="31"/>
    </row>
    <row r="1370" spans="1:33" s="32" customFormat="1" ht="15" customHeight="1">
      <c r="A1370" s="37">
        <v>43627</v>
      </c>
      <c r="B1370" s="20" t="s">
        <v>34</v>
      </c>
      <c r="C1370" s="20" t="s">
        <v>46</v>
      </c>
      <c r="D1370" s="20">
        <v>195</v>
      </c>
      <c r="E1370" s="38">
        <v>3500</v>
      </c>
      <c r="F1370" s="20" t="s">
        <v>8</v>
      </c>
      <c r="G1370" s="43">
        <v>4</v>
      </c>
      <c r="H1370" s="43">
        <v>4.6500000000000004</v>
      </c>
      <c r="I1370" s="43">
        <v>0</v>
      </c>
      <c r="J1370" s="43">
        <v>0</v>
      </c>
      <c r="K1370" s="1">
        <f t="shared" si="2272"/>
        <v>2275.0000000000014</v>
      </c>
      <c r="L1370" s="43">
        <v>0</v>
      </c>
      <c r="M1370" s="43">
        <v>0</v>
      </c>
      <c r="N1370" s="1">
        <f t="shared" si="2271"/>
        <v>0.65000000000000036</v>
      </c>
      <c r="O1370" s="1">
        <f t="shared" si="2255"/>
        <v>2275.0000000000014</v>
      </c>
      <c r="P1370" s="31"/>
      <c r="Q1370" s="31"/>
      <c r="R1370" s="31"/>
      <c r="S1370" s="31"/>
      <c r="T1370" s="31"/>
      <c r="U1370" s="31"/>
      <c r="V1370" s="31"/>
      <c r="W1370" s="31"/>
      <c r="X1370" s="31"/>
      <c r="Y1370" s="31"/>
      <c r="Z1370" s="31"/>
      <c r="AA1370" s="31"/>
      <c r="AB1370" s="31"/>
      <c r="AC1370" s="31"/>
      <c r="AD1370" s="31"/>
      <c r="AE1370" s="31"/>
      <c r="AF1370" s="31"/>
      <c r="AG1370" s="31"/>
    </row>
    <row r="1371" spans="1:33" s="32" customFormat="1" ht="15" customHeight="1">
      <c r="A1371" s="37">
        <v>43627</v>
      </c>
      <c r="B1371" s="20" t="s">
        <v>16</v>
      </c>
      <c r="C1371" s="20" t="s">
        <v>47</v>
      </c>
      <c r="D1371" s="20">
        <v>420</v>
      </c>
      <c r="E1371" s="38">
        <v>2500</v>
      </c>
      <c r="F1371" s="20" t="s">
        <v>8</v>
      </c>
      <c r="G1371" s="43">
        <v>10.7</v>
      </c>
      <c r="H1371" s="43">
        <v>11.5</v>
      </c>
      <c r="I1371" s="43">
        <v>0</v>
      </c>
      <c r="J1371" s="43">
        <v>0</v>
      </c>
      <c r="K1371" s="1">
        <f t="shared" si="2272"/>
        <v>2000.0000000000018</v>
      </c>
      <c r="L1371" s="43">
        <v>0</v>
      </c>
      <c r="M1371" s="43">
        <v>0</v>
      </c>
      <c r="N1371" s="1">
        <f t="shared" si="2271"/>
        <v>0.80000000000000071</v>
      </c>
      <c r="O1371" s="1">
        <f t="shared" si="2255"/>
        <v>2000.0000000000018</v>
      </c>
      <c r="P1371" s="31"/>
      <c r="Q1371" s="31"/>
      <c r="R1371" s="31"/>
      <c r="S1371" s="31"/>
      <c r="T1371" s="31"/>
      <c r="U1371" s="31"/>
      <c r="V1371" s="31"/>
      <c r="W1371" s="31"/>
      <c r="X1371" s="31"/>
      <c r="Y1371" s="31"/>
      <c r="Z1371" s="31"/>
      <c r="AA1371" s="31"/>
      <c r="AB1371" s="31"/>
      <c r="AC1371" s="31"/>
      <c r="AD1371" s="31"/>
      <c r="AE1371" s="31"/>
      <c r="AF1371" s="31"/>
      <c r="AG1371" s="31"/>
    </row>
    <row r="1372" spans="1:33" s="32" customFormat="1" ht="15" customHeight="1">
      <c r="A1372" s="37">
        <v>43626</v>
      </c>
      <c r="B1372" s="20" t="s">
        <v>26</v>
      </c>
      <c r="C1372" s="20" t="s">
        <v>47</v>
      </c>
      <c r="D1372" s="20">
        <v>490</v>
      </c>
      <c r="E1372" s="38">
        <v>1061</v>
      </c>
      <c r="F1372" s="20" t="s">
        <v>8</v>
      </c>
      <c r="G1372" s="43">
        <v>15</v>
      </c>
      <c r="H1372" s="43">
        <v>11.5</v>
      </c>
      <c r="I1372" s="43">
        <v>0</v>
      </c>
      <c r="J1372" s="43">
        <v>0</v>
      </c>
      <c r="K1372" s="1">
        <f t="shared" ref="K1372:K1373" si="2273">(IF(F1372="SELL",G1372-H1372,IF(F1372="BUY",H1372-G1372)))*E1372</f>
        <v>-3713.5</v>
      </c>
      <c r="L1372" s="43">
        <v>0</v>
      </c>
      <c r="M1372" s="43">
        <v>0</v>
      </c>
      <c r="N1372" s="1">
        <f t="shared" si="2271"/>
        <v>-3.5</v>
      </c>
      <c r="O1372" s="1">
        <f t="shared" si="2255"/>
        <v>-3713.5</v>
      </c>
      <c r="P1372" s="31"/>
      <c r="Q1372" s="31"/>
      <c r="R1372" s="31"/>
      <c r="S1372" s="31"/>
      <c r="T1372" s="31"/>
      <c r="U1372" s="31"/>
      <c r="V1372" s="31"/>
      <c r="W1372" s="31"/>
      <c r="X1372" s="31"/>
      <c r="Y1372" s="31"/>
      <c r="Z1372" s="31"/>
      <c r="AA1372" s="31"/>
      <c r="AB1372" s="31"/>
      <c r="AC1372" s="31"/>
      <c r="AD1372" s="31"/>
      <c r="AE1372" s="31"/>
      <c r="AF1372" s="31"/>
      <c r="AG1372" s="31"/>
    </row>
    <row r="1373" spans="1:33" s="32" customFormat="1" ht="15" customHeight="1">
      <c r="A1373" s="37">
        <v>43626</v>
      </c>
      <c r="B1373" s="20" t="s">
        <v>422</v>
      </c>
      <c r="C1373" s="20" t="s">
        <v>46</v>
      </c>
      <c r="D1373" s="20">
        <v>1660</v>
      </c>
      <c r="E1373" s="38">
        <v>600</v>
      </c>
      <c r="F1373" s="20" t="s">
        <v>8</v>
      </c>
      <c r="G1373" s="43">
        <v>46.2</v>
      </c>
      <c r="H1373" s="43">
        <v>42</v>
      </c>
      <c r="I1373" s="43">
        <v>0</v>
      </c>
      <c r="J1373" s="43">
        <v>0</v>
      </c>
      <c r="K1373" s="1">
        <f t="shared" si="2273"/>
        <v>-2520.0000000000018</v>
      </c>
      <c r="L1373" s="43">
        <v>0</v>
      </c>
      <c r="M1373" s="43">
        <v>0</v>
      </c>
      <c r="N1373" s="1">
        <f t="shared" si="2271"/>
        <v>-4.2000000000000028</v>
      </c>
      <c r="O1373" s="1">
        <f t="shared" si="2255"/>
        <v>-2520.0000000000018</v>
      </c>
      <c r="P1373" s="31"/>
      <c r="Q1373" s="31"/>
      <c r="R1373" s="31"/>
      <c r="S1373" s="31"/>
      <c r="T1373" s="31"/>
      <c r="U1373" s="31"/>
      <c r="V1373" s="31"/>
      <c r="W1373" s="31"/>
      <c r="X1373" s="31"/>
      <c r="Y1373" s="31"/>
      <c r="Z1373" s="31"/>
      <c r="AA1373" s="31"/>
      <c r="AB1373" s="31"/>
      <c r="AC1373" s="31"/>
      <c r="AD1373" s="31"/>
      <c r="AE1373" s="31"/>
      <c r="AF1373" s="31"/>
      <c r="AG1373" s="31"/>
    </row>
    <row r="1374" spans="1:33" s="32" customFormat="1" ht="15" customHeight="1">
      <c r="A1374" s="37">
        <v>43623</v>
      </c>
      <c r="B1374" s="20" t="s">
        <v>414</v>
      </c>
      <c r="C1374" s="20" t="s">
        <v>46</v>
      </c>
      <c r="D1374" s="20">
        <v>150</v>
      </c>
      <c r="E1374" s="38">
        <v>1750</v>
      </c>
      <c r="F1374" s="20" t="s">
        <v>8</v>
      </c>
      <c r="G1374" s="43">
        <v>13</v>
      </c>
      <c r="H1374" s="43">
        <v>14</v>
      </c>
      <c r="I1374" s="43">
        <v>16</v>
      </c>
      <c r="J1374" s="43">
        <v>0</v>
      </c>
      <c r="K1374" s="1">
        <f t="shared" ref="K1374:K1377" si="2274">(IF(F1374="SELL",G1374-H1374,IF(F1374="BUY",H1374-G1374)))*E1374</f>
        <v>1750</v>
      </c>
      <c r="L1374" s="43">
        <f>E1374*2</f>
        <v>3500</v>
      </c>
      <c r="M1374" s="43">
        <v>0</v>
      </c>
      <c r="N1374" s="1">
        <f t="shared" si="2271"/>
        <v>3</v>
      </c>
      <c r="O1374" s="1">
        <f t="shared" si="2255"/>
        <v>5250</v>
      </c>
      <c r="P1374" s="31"/>
      <c r="Q1374" s="31"/>
      <c r="R1374" s="31"/>
      <c r="S1374" s="31"/>
      <c r="T1374" s="31"/>
      <c r="U1374" s="31"/>
      <c r="V1374" s="31"/>
      <c r="W1374" s="31"/>
      <c r="X1374" s="31"/>
      <c r="Y1374" s="31"/>
      <c r="Z1374" s="31"/>
      <c r="AA1374" s="31"/>
      <c r="AB1374" s="31"/>
      <c r="AC1374" s="31"/>
      <c r="AD1374" s="31"/>
      <c r="AE1374" s="31"/>
      <c r="AF1374" s="31"/>
      <c r="AG1374" s="31"/>
    </row>
    <row r="1375" spans="1:33" s="32" customFormat="1" ht="15" customHeight="1">
      <c r="A1375" s="37">
        <v>43623</v>
      </c>
      <c r="B1375" s="20" t="s">
        <v>421</v>
      </c>
      <c r="C1375" s="20" t="s">
        <v>47</v>
      </c>
      <c r="D1375" s="20">
        <v>340</v>
      </c>
      <c r="E1375" s="38">
        <v>3000</v>
      </c>
      <c r="F1375" s="20" t="s">
        <v>8</v>
      </c>
      <c r="G1375" s="43">
        <v>10.25</v>
      </c>
      <c r="H1375" s="43">
        <v>11.25</v>
      </c>
      <c r="I1375" s="43">
        <v>0</v>
      </c>
      <c r="J1375" s="43">
        <v>0</v>
      </c>
      <c r="K1375" s="1">
        <f t="shared" si="2274"/>
        <v>3000</v>
      </c>
      <c r="L1375" s="43">
        <v>0</v>
      </c>
      <c r="M1375" s="43">
        <v>0</v>
      </c>
      <c r="N1375" s="1">
        <f t="shared" si="2271"/>
        <v>1</v>
      </c>
      <c r="O1375" s="1">
        <f t="shared" si="2255"/>
        <v>3000</v>
      </c>
      <c r="P1375" s="31"/>
      <c r="Q1375" s="31"/>
      <c r="R1375" s="31"/>
      <c r="S1375" s="31"/>
      <c r="T1375" s="31"/>
      <c r="U1375" s="31"/>
      <c r="V1375" s="31"/>
      <c r="W1375" s="31"/>
      <c r="X1375" s="31"/>
      <c r="Y1375" s="31"/>
      <c r="Z1375" s="31"/>
      <c r="AA1375" s="31"/>
      <c r="AB1375" s="31"/>
      <c r="AC1375" s="31"/>
      <c r="AD1375" s="31"/>
      <c r="AE1375" s="31"/>
      <c r="AF1375" s="31"/>
      <c r="AG1375" s="31"/>
    </row>
    <row r="1376" spans="1:33" s="32" customFormat="1" ht="15" customHeight="1">
      <c r="A1376" s="37">
        <v>43623</v>
      </c>
      <c r="B1376" s="20" t="s">
        <v>128</v>
      </c>
      <c r="C1376" s="20" t="s">
        <v>46</v>
      </c>
      <c r="D1376" s="20">
        <v>1500</v>
      </c>
      <c r="E1376" s="38">
        <v>400</v>
      </c>
      <c r="F1376" s="20" t="s">
        <v>8</v>
      </c>
      <c r="G1376" s="43">
        <v>31</v>
      </c>
      <c r="H1376" s="43">
        <v>35</v>
      </c>
      <c r="I1376" s="43">
        <v>0</v>
      </c>
      <c r="J1376" s="43">
        <v>0</v>
      </c>
      <c r="K1376" s="1">
        <f t="shared" si="2274"/>
        <v>1600</v>
      </c>
      <c r="L1376" s="43">
        <v>0</v>
      </c>
      <c r="M1376" s="43">
        <v>0</v>
      </c>
      <c r="N1376" s="1">
        <f t="shared" si="2271"/>
        <v>4</v>
      </c>
      <c r="O1376" s="1">
        <f t="shared" ref="O1376:O1439" si="2275">N1376*E1376</f>
        <v>1600</v>
      </c>
      <c r="P1376" s="31"/>
      <c r="Q1376" s="31"/>
      <c r="R1376" s="31"/>
      <c r="S1376" s="31"/>
      <c r="T1376" s="31"/>
      <c r="U1376" s="31"/>
      <c r="V1376" s="31"/>
      <c r="W1376" s="31"/>
      <c r="X1376" s="31"/>
      <c r="Y1376" s="31"/>
      <c r="Z1376" s="31"/>
      <c r="AA1376" s="31"/>
      <c r="AB1376" s="31"/>
      <c r="AC1376" s="31"/>
      <c r="AD1376" s="31"/>
      <c r="AE1376" s="31"/>
      <c r="AF1376" s="31"/>
      <c r="AG1376" s="31"/>
    </row>
    <row r="1377" spans="1:33" s="32" customFormat="1" ht="15" customHeight="1">
      <c r="A1377" s="37">
        <v>43623</v>
      </c>
      <c r="B1377" s="20" t="s">
        <v>72</v>
      </c>
      <c r="C1377" s="20" t="s">
        <v>47</v>
      </c>
      <c r="D1377" s="20">
        <v>400</v>
      </c>
      <c r="E1377" s="38">
        <v>1800</v>
      </c>
      <c r="F1377" s="20" t="s">
        <v>8</v>
      </c>
      <c r="G1377" s="43">
        <v>15.5</v>
      </c>
      <c r="H1377" s="43">
        <v>16</v>
      </c>
      <c r="I1377" s="43">
        <v>0</v>
      </c>
      <c r="J1377" s="43">
        <v>0</v>
      </c>
      <c r="K1377" s="1">
        <f t="shared" si="2274"/>
        <v>900</v>
      </c>
      <c r="L1377" s="43">
        <v>0</v>
      </c>
      <c r="M1377" s="43">
        <v>0</v>
      </c>
      <c r="N1377" s="1">
        <f t="shared" si="2271"/>
        <v>0.5</v>
      </c>
      <c r="O1377" s="1">
        <f t="shared" si="2275"/>
        <v>900</v>
      </c>
      <c r="P1377" s="31"/>
      <c r="Q1377" s="31"/>
      <c r="R1377" s="31"/>
      <c r="S1377" s="31"/>
      <c r="T1377" s="31"/>
      <c r="U1377" s="31"/>
      <c r="V1377" s="31"/>
      <c r="W1377" s="31"/>
      <c r="X1377" s="31"/>
      <c r="Y1377" s="31"/>
      <c r="Z1377" s="31"/>
      <c r="AA1377" s="31"/>
      <c r="AB1377" s="31"/>
      <c r="AC1377" s="31"/>
      <c r="AD1377" s="31"/>
      <c r="AE1377" s="31"/>
      <c r="AF1377" s="31"/>
      <c r="AG1377" s="31"/>
    </row>
    <row r="1378" spans="1:33" s="32" customFormat="1" ht="15" customHeight="1">
      <c r="A1378" s="37">
        <v>43623</v>
      </c>
      <c r="B1378" s="20" t="s">
        <v>60</v>
      </c>
      <c r="C1378" s="20" t="s">
        <v>47</v>
      </c>
      <c r="D1378" s="20">
        <v>170</v>
      </c>
      <c r="E1378" s="38">
        <v>2300</v>
      </c>
      <c r="F1378" s="20" t="s">
        <v>8</v>
      </c>
      <c r="G1378" s="43">
        <v>5</v>
      </c>
      <c r="H1378" s="43">
        <v>4.5999999999999996</v>
      </c>
      <c r="I1378" s="43">
        <v>0</v>
      </c>
      <c r="J1378" s="43">
        <v>0</v>
      </c>
      <c r="K1378" s="1">
        <f t="shared" ref="K1378" si="2276">(IF(F1378="SELL",G1378-H1378,IF(F1378="BUY",H1378-G1378)))*E1378</f>
        <v>-920.0000000000008</v>
      </c>
      <c r="L1378" s="43">
        <v>0</v>
      </c>
      <c r="M1378" s="43">
        <v>0</v>
      </c>
      <c r="N1378" s="1">
        <f t="shared" si="2271"/>
        <v>-0.40000000000000036</v>
      </c>
      <c r="O1378" s="1">
        <f t="shared" si="2275"/>
        <v>-920.0000000000008</v>
      </c>
      <c r="P1378" s="31"/>
      <c r="Q1378" s="31"/>
      <c r="R1378" s="31"/>
      <c r="S1378" s="31"/>
      <c r="T1378" s="31"/>
      <c r="U1378" s="31"/>
      <c r="V1378" s="31"/>
      <c r="W1378" s="31"/>
      <c r="X1378" s="31"/>
      <c r="Y1378" s="31"/>
      <c r="Z1378" s="31"/>
      <c r="AA1378" s="31"/>
      <c r="AB1378" s="31"/>
      <c r="AC1378" s="31"/>
      <c r="AD1378" s="31"/>
      <c r="AE1378" s="31"/>
      <c r="AF1378" s="31"/>
      <c r="AG1378" s="31"/>
    </row>
    <row r="1379" spans="1:33" s="32" customFormat="1" ht="15" customHeight="1">
      <c r="A1379" s="37">
        <v>43622</v>
      </c>
      <c r="B1379" s="20" t="s">
        <v>62</v>
      </c>
      <c r="C1379" s="20" t="s">
        <v>47</v>
      </c>
      <c r="D1379" s="20">
        <v>130</v>
      </c>
      <c r="E1379" s="38">
        <v>6200</v>
      </c>
      <c r="F1379" s="20" t="s">
        <v>8</v>
      </c>
      <c r="G1379" s="43">
        <v>7.25</v>
      </c>
      <c r="H1379" s="43">
        <v>7.7</v>
      </c>
      <c r="I1379" s="43">
        <v>8.5</v>
      </c>
      <c r="J1379" s="43">
        <v>0</v>
      </c>
      <c r="K1379" s="1">
        <f t="shared" ref="K1379:K1381" si="2277">(IF(F1379="SELL",G1379-H1379,IF(F1379="BUY",H1379-G1379)))*E1379</f>
        <v>2790.0000000000009</v>
      </c>
      <c r="L1379" s="43">
        <f>E1379*0.8</f>
        <v>4960</v>
      </c>
      <c r="M1379" s="43">
        <v>0</v>
      </c>
      <c r="N1379" s="1">
        <f t="shared" si="2271"/>
        <v>1.2500000000000002</v>
      </c>
      <c r="O1379" s="1">
        <f t="shared" si="2275"/>
        <v>7750.0000000000018</v>
      </c>
      <c r="P1379" s="31"/>
      <c r="Q1379" s="31"/>
      <c r="R1379" s="31"/>
      <c r="S1379" s="31"/>
      <c r="T1379" s="31"/>
      <c r="U1379" s="31"/>
      <c r="V1379" s="31"/>
      <c r="W1379" s="31"/>
      <c r="X1379" s="31"/>
      <c r="Y1379" s="31"/>
      <c r="Z1379" s="31"/>
      <c r="AA1379" s="31"/>
      <c r="AB1379" s="31"/>
      <c r="AC1379" s="31"/>
      <c r="AD1379" s="31"/>
      <c r="AE1379" s="31"/>
      <c r="AF1379" s="31"/>
      <c r="AG1379" s="31"/>
    </row>
    <row r="1380" spans="1:33" s="32" customFormat="1" ht="15" customHeight="1">
      <c r="A1380" s="37">
        <v>43622</v>
      </c>
      <c r="B1380" s="20" t="s">
        <v>131</v>
      </c>
      <c r="C1380" s="20" t="s">
        <v>46</v>
      </c>
      <c r="D1380" s="20">
        <v>230</v>
      </c>
      <c r="E1380" s="38">
        <v>2500</v>
      </c>
      <c r="F1380" s="20" t="s">
        <v>8</v>
      </c>
      <c r="G1380" s="43">
        <v>9</v>
      </c>
      <c r="H1380" s="43">
        <v>10.25</v>
      </c>
      <c r="I1380" s="43">
        <v>0</v>
      </c>
      <c r="J1380" s="43">
        <v>0</v>
      </c>
      <c r="K1380" s="1">
        <f t="shared" si="2277"/>
        <v>3125</v>
      </c>
      <c r="L1380" s="43">
        <v>0</v>
      </c>
      <c r="M1380" s="43">
        <v>0</v>
      </c>
      <c r="N1380" s="1">
        <f t="shared" si="2271"/>
        <v>1.25</v>
      </c>
      <c r="O1380" s="1">
        <f t="shared" si="2275"/>
        <v>3125</v>
      </c>
      <c r="P1380" s="31"/>
      <c r="Q1380" s="31"/>
      <c r="R1380" s="31"/>
      <c r="S1380" s="31"/>
      <c r="T1380" s="31"/>
      <c r="U1380" s="31"/>
      <c r="V1380" s="31"/>
      <c r="W1380" s="31"/>
      <c r="X1380" s="31"/>
      <c r="Y1380" s="31"/>
      <c r="Z1380" s="31"/>
      <c r="AA1380" s="31"/>
      <c r="AB1380" s="31"/>
      <c r="AC1380" s="31"/>
      <c r="AD1380" s="31"/>
      <c r="AE1380" s="31"/>
      <c r="AF1380" s="31"/>
      <c r="AG1380" s="31"/>
    </row>
    <row r="1381" spans="1:33" s="32" customFormat="1" ht="15" customHeight="1">
      <c r="A1381" s="37">
        <v>43622</v>
      </c>
      <c r="B1381" s="20" t="s">
        <v>32</v>
      </c>
      <c r="C1381" s="20" t="s">
        <v>46</v>
      </c>
      <c r="D1381" s="20">
        <v>640</v>
      </c>
      <c r="E1381" s="38">
        <v>1000</v>
      </c>
      <c r="F1381" s="20" t="s">
        <v>8</v>
      </c>
      <c r="G1381" s="43">
        <v>25.5</v>
      </c>
      <c r="H1381" s="43">
        <v>27.5</v>
      </c>
      <c r="I1381" s="43">
        <v>0</v>
      </c>
      <c r="J1381" s="43">
        <v>0</v>
      </c>
      <c r="K1381" s="1">
        <f t="shared" si="2277"/>
        <v>2000</v>
      </c>
      <c r="L1381" s="43">
        <v>0</v>
      </c>
      <c r="M1381" s="43">
        <v>0</v>
      </c>
      <c r="N1381" s="1">
        <f t="shared" si="2271"/>
        <v>2</v>
      </c>
      <c r="O1381" s="1">
        <f t="shared" si="2275"/>
        <v>2000</v>
      </c>
      <c r="P1381" s="31"/>
      <c r="Q1381" s="31"/>
      <c r="R1381" s="31"/>
      <c r="S1381" s="31"/>
      <c r="T1381" s="31"/>
      <c r="U1381" s="31"/>
      <c r="V1381" s="31"/>
      <c r="W1381" s="31"/>
      <c r="X1381" s="31"/>
      <c r="Y1381" s="31"/>
      <c r="Z1381" s="31"/>
      <c r="AA1381" s="31"/>
      <c r="AB1381" s="31"/>
      <c r="AC1381" s="31"/>
      <c r="AD1381" s="31"/>
      <c r="AE1381" s="31"/>
      <c r="AF1381" s="31"/>
      <c r="AG1381" s="31"/>
    </row>
    <row r="1382" spans="1:33" s="32" customFormat="1" ht="15" customHeight="1">
      <c r="A1382" s="37">
        <v>43620</v>
      </c>
      <c r="B1382" s="20" t="s">
        <v>34</v>
      </c>
      <c r="C1382" s="20" t="s">
        <v>47</v>
      </c>
      <c r="D1382" s="20">
        <v>200</v>
      </c>
      <c r="E1382" s="38">
        <v>3500</v>
      </c>
      <c r="F1382" s="20" t="s">
        <v>8</v>
      </c>
      <c r="G1382" s="43">
        <v>5.5</v>
      </c>
      <c r="H1382" s="43">
        <v>6.3</v>
      </c>
      <c r="I1382" s="43">
        <v>0</v>
      </c>
      <c r="J1382" s="43">
        <v>0</v>
      </c>
      <c r="K1382" s="1">
        <f t="shared" ref="K1382:K1385" si="2278">(IF(F1382="SELL",G1382-H1382,IF(F1382="BUY",H1382-G1382)))*E1382</f>
        <v>2799.9999999999995</v>
      </c>
      <c r="L1382" s="43">
        <v>0</v>
      </c>
      <c r="M1382" s="43">
        <v>0</v>
      </c>
      <c r="N1382" s="1">
        <f t="shared" si="2271"/>
        <v>0.79999999999999982</v>
      </c>
      <c r="O1382" s="1">
        <f t="shared" si="2275"/>
        <v>2799.9999999999995</v>
      </c>
      <c r="P1382" s="31"/>
      <c r="Q1382" s="31"/>
      <c r="R1382" s="31"/>
      <c r="S1382" s="31"/>
      <c r="T1382" s="31"/>
      <c r="U1382" s="31"/>
      <c r="V1382" s="31"/>
      <c r="W1382" s="31"/>
      <c r="X1382" s="31"/>
      <c r="Y1382" s="31"/>
      <c r="Z1382" s="31"/>
      <c r="AA1382" s="31"/>
      <c r="AB1382" s="31"/>
      <c r="AC1382" s="31"/>
      <c r="AD1382" s="31"/>
      <c r="AE1382" s="31"/>
      <c r="AF1382" s="31"/>
      <c r="AG1382" s="31"/>
    </row>
    <row r="1383" spans="1:33" s="32" customFormat="1" ht="15" customHeight="1">
      <c r="A1383" s="37">
        <v>43620</v>
      </c>
      <c r="B1383" s="20" t="s">
        <v>22</v>
      </c>
      <c r="C1383" s="20" t="s">
        <v>47</v>
      </c>
      <c r="D1383" s="20">
        <v>200</v>
      </c>
      <c r="E1383" s="38">
        <v>2600</v>
      </c>
      <c r="F1383" s="20" t="s">
        <v>8</v>
      </c>
      <c r="G1383" s="43">
        <v>10</v>
      </c>
      <c r="H1383" s="43">
        <v>10.55</v>
      </c>
      <c r="I1383" s="43">
        <v>0</v>
      </c>
      <c r="J1383" s="43">
        <v>0</v>
      </c>
      <c r="K1383" s="1">
        <f t="shared" si="2278"/>
        <v>1430.0000000000018</v>
      </c>
      <c r="L1383" s="43">
        <v>0</v>
      </c>
      <c r="M1383" s="43">
        <v>0</v>
      </c>
      <c r="N1383" s="1">
        <f t="shared" si="2271"/>
        <v>0.55000000000000071</v>
      </c>
      <c r="O1383" s="1">
        <f t="shared" si="2275"/>
        <v>1430.0000000000018</v>
      </c>
      <c r="P1383" s="31"/>
      <c r="Q1383" s="31"/>
      <c r="R1383" s="31"/>
      <c r="S1383" s="31"/>
      <c r="T1383" s="31"/>
      <c r="U1383" s="31"/>
      <c r="V1383" s="31"/>
      <c r="W1383" s="31"/>
      <c r="X1383" s="31"/>
      <c r="Y1383" s="31"/>
      <c r="Z1383" s="31"/>
      <c r="AA1383" s="31"/>
      <c r="AB1383" s="31"/>
      <c r="AC1383" s="31"/>
      <c r="AD1383" s="31"/>
      <c r="AE1383" s="31"/>
      <c r="AF1383" s="31"/>
      <c r="AG1383" s="31"/>
    </row>
    <row r="1384" spans="1:33" s="32" customFormat="1" ht="15" customHeight="1">
      <c r="A1384" s="37">
        <v>43620</v>
      </c>
      <c r="B1384" s="20" t="s">
        <v>367</v>
      </c>
      <c r="C1384" s="20" t="s">
        <v>47</v>
      </c>
      <c r="D1384" s="20">
        <v>200</v>
      </c>
      <c r="E1384" s="38">
        <v>3000</v>
      </c>
      <c r="F1384" s="20" t="s">
        <v>8</v>
      </c>
      <c r="G1384" s="43">
        <v>7.5</v>
      </c>
      <c r="H1384" s="43">
        <v>6.2</v>
      </c>
      <c r="I1384" s="43">
        <v>0</v>
      </c>
      <c r="J1384" s="43">
        <v>0</v>
      </c>
      <c r="K1384" s="1">
        <f t="shared" si="2278"/>
        <v>-3899.9999999999995</v>
      </c>
      <c r="L1384" s="43">
        <v>0</v>
      </c>
      <c r="M1384" s="43">
        <v>0</v>
      </c>
      <c r="N1384" s="1">
        <f t="shared" si="2271"/>
        <v>-1.2999999999999998</v>
      </c>
      <c r="O1384" s="1">
        <f t="shared" si="2275"/>
        <v>-3899.9999999999995</v>
      </c>
      <c r="P1384" s="31"/>
      <c r="Q1384" s="31"/>
      <c r="R1384" s="31"/>
      <c r="S1384" s="31"/>
      <c r="T1384" s="31"/>
      <c r="U1384" s="31"/>
      <c r="V1384" s="31"/>
      <c r="W1384" s="31"/>
      <c r="X1384" s="31"/>
      <c r="Y1384" s="31"/>
      <c r="Z1384" s="31"/>
      <c r="AA1384" s="31"/>
      <c r="AB1384" s="31"/>
      <c r="AC1384" s="31"/>
      <c r="AD1384" s="31"/>
      <c r="AE1384" s="31"/>
      <c r="AF1384" s="31"/>
      <c r="AG1384" s="31"/>
    </row>
    <row r="1385" spans="1:33" s="32" customFormat="1" ht="15" customHeight="1">
      <c r="A1385" s="37">
        <v>43620</v>
      </c>
      <c r="B1385" s="20" t="s">
        <v>17</v>
      </c>
      <c r="C1385" s="20" t="s">
        <v>47</v>
      </c>
      <c r="D1385" s="20">
        <v>820</v>
      </c>
      <c r="E1385" s="38">
        <v>1200</v>
      </c>
      <c r="F1385" s="20" t="s">
        <v>8</v>
      </c>
      <c r="G1385" s="43">
        <v>26</v>
      </c>
      <c r="H1385" s="43">
        <v>24</v>
      </c>
      <c r="I1385" s="43">
        <v>0</v>
      </c>
      <c r="J1385" s="43">
        <v>0</v>
      </c>
      <c r="K1385" s="1">
        <f t="shared" si="2278"/>
        <v>-2400</v>
      </c>
      <c r="L1385" s="43">
        <v>0</v>
      </c>
      <c r="M1385" s="43">
        <v>0</v>
      </c>
      <c r="N1385" s="1">
        <f t="shared" si="2271"/>
        <v>-2</v>
      </c>
      <c r="O1385" s="1">
        <f t="shared" si="2275"/>
        <v>-2400</v>
      </c>
      <c r="P1385" s="31"/>
      <c r="Q1385" s="31"/>
      <c r="R1385" s="31"/>
      <c r="S1385" s="31"/>
      <c r="T1385" s="31"/>
      <c r="U1385" s="31"/>
      <c r="V1385" s="31"/>
      <c r="W1385" s="31"/>
      <c r="X1385" s="31"/>
      <c r="Y1385" s="31"/>
      <c r="Z1385" s="31"/>
      <c r="AA1385" s="31"/>
      <c r="AB1385" s="31"/>
      <c r="AC1385" s="31"/>
      <c r="AD1385" s="31"/>
      <c r="AE1385" s="31"/>
      <c r="AF1385" s="31"/>
      <c r="AG1385" s="31"/>
    </row>
    <row r="1386" spans="1:33" s="32" customFormat="1" ht="15" customHeight="1">
      <c r="A1386" s="37">
        <v>43620</v>
      </c>
      <c r="B1386" s="20" t="s">
        <v>414</v>
      </c>
      <c r="C1386" s="20" t="s">
        <v>47</v>
      </c>
      <c r="D1386" s="20">
        <v>150</v>
      </c>
      <c r="E1386" s="38">
        <v>1750</v>
      </c>
      <c r="F1386" s="20" t="s">
        <v>8</v>
      </c>
      <c r="G1386" s="43">
        <v>11</v>
      </c>
      <c r="H1386" s="43">
        <v>10.8</v>
      </c>
      <c r="I1386" s="43">
        <v>0</v>
      </c>
      <c r="J1386" s="43">
        <v>0</v>
      </c>
      <c r="K1386" s="1">
        <f t="shared" ref="K1386:K1387" si="2279">(IF(F1386="SELL",G1386-H1386,IF(F1386="BUY",H1386-G1386)))*E1386</f>
        <v>-349.99999999999875</v>
      </c>
      <c r="L1386" s="43">
        <v>0</v>
      </c>
      <c r="M1386" s="43">
        <v>0</v>
      </c>
      <c r="N1386" s="1">
        <f t="shared" si="2271"/>
        <v>-0.19999999999999929</v>
      </c>
      <c r="O1386" s="1">
        <f t="shared" si="2275"/>
        <v>-349.99999999999875</v>
      </c>
      <c r="P1386" s="31"/>
      <c r="Q1386" s="31"/>
      <c r="R1386" s="31"/>
      <c r="S1386" s="31"/>
      <c r="T1386" s="31"/>
      <c r="U1386" s="31"/>
      <c r="V1386" s="31"/>
      <c r="W1386" s="31"/>
      <c r="X1386" s="31"/>
      <c r="Y1386" s="31"/>
      <c r="Z1386" s="31"/>
      <c r="AA1386" s="31"/>
      <c r="AB1386" s="31"/>
      <c r="AC1386" s="31"/>
      <c r="AD1386" s="31"/>
      <c r="AE1386" s="31"/>
      <c r="AF1386" s="31"/>
      <c r="AG1386" s="31"/>
    </row>
    <row r="1387" spans="1:33" s="32" customFormat="1" ht="15" customHeight="1">
      <c r="A1387" s="37">
        <v>43620</v>
      </c>
      <c r="B1387" s="20" t="s">
        <v>37</v>
      </c>
      <c r="C1387" s="20" t="s">
        <v>47</v>
      </c>
      <c r="D1387" s="20">
        <v>2220</v>
      </c>
      <c r="E1387" s="38">
        <v>250</v>
      </c>
      <c r="F1387" s="20" t="s">
        <v>8</v>
      </c>
      <c r="G1387" s="43">
        <v>45</v>
      </c>
      <c r="H1387" s="43">
        <v>36</v>
      </c>
      <c r="I1387" s="43">
        <v>0</v>
      </c>
      <c r="J1387" s="43">
        <v>0</v>
      </c>
      <c r="K1387" s="1">
        <f t="shared" si="2279"/>
        <v>-2250</v>
      </c>
      <c r="L1387" s="43">
        <v>0</v>
      </c>
      <c r="M1387" s="43">
        <v>0</v>
      </c>
      <c r="N1387" s="1">
        <f t="shared" si="2271"/>
        <v>-9</v>
      </c>
      <c r="O1387" s="1">
        <f t="shared" si="2275"/>
        <v>-2250</v>
      </c>
      <c r="P1387" s="31"/>
      <c r="Q1387" s="31"/>
      <c r="R1387" s="31"/>
      <c r="S1387" s="31"/>
      <c r="T1387" s="31"/>
      <c r="U1387" s="31"/>
      <c r="V1387" s="31"/>
      <c r="W1387" s="31"/>
      <c r="X1387" s="31"/>
      <c r="Y1387" s="31"/>
      <c r="Z1387" s="31"/>
      <c r="AA1387" s="31"/>
      <c r="AB1387" s="31"/>
      <c r="AC1387" s="31"/>
      <c r="AD1387" s="31"/>
      <c r="AE1387" s="31"/>
      <c r="AF1387" s="31"/>
      <c r="AG1387" s="31"/>
    </row>
    <row r="1388" spans="1:33" s="32" customFormat="1" ht="15" customHeight="1">
      <c r="A1388" s="37">
        <v>43619</v>
      </c>
      <c r="B1388" s="20" t="s">
        <v>419</v>
      </c>
      <c r="C1388" s="20" t="s">
        <v>47</v>
      </c>
      <c r="D1388" s="20">
        <v>1300</v>
      </c>
      <c r="E1388" s="38">
        <v>500</v>
      </c>
      <c r="F1388" s="20" t="s">
        <v>8</v>
      </c>
      <c r="G1388" s="43">
        <v>51</v>
      </c>
      <c r="H1388" s="43">
        <v>54</v>
      </c>
      <c r="I1388" s="43">
        <v>60</v>
      </c>
      <c r="J1388" s="43">
        <v>0</v>
      </c>
      <c r="K1388" s="1">
        <f t="shared" ref="K1388:K1391" si="2280">(IF(F1388="SELL",G1388-H1388,IF(F1388="BUY",H1388-G1388)))*E1388</f>
        <v>1500</v>
      </c>
      <c r="L1388" s="43">
        <f>E1388*6</f>
        <v>3000</v>
      </c>
      <c r="M1388" s="43">
        <v>0</v>
      </c>
      <c r="N1388" s="1">
        <f t="shared" si="2271"/>
        <v>9</v>
      </c>
      <c r="O1388" s="1">
        <f t="shared" si="2275"/>
        <v>4500</v>
      </c>
      <c r="P1388" s="31"/>
      <c r="Q1388" s="31"/>
      <c r="R1388" s="31"/>
      <c r="S1388" s="31"/>
      <c r="T1388" s="31"/>
      <c r="U1388" s="31"/>
      <c r="V1388" s="31"/>
      <c r="W1388" s="31"/>
      <c r="X1388" s="31"/>
      <c r="Y1388" s="31"/>
      <c r="Z1388" s="31"/>
      <c r="AA1388" s="31"/>
      <c r="AB1388" s="31"/>
      <c r="AC1388" s="31"/>
      <c r="AD1388" s="31"/>
      <c r="AE1388" s="31"/>
      <c r="AF1388" s="31"/>
      <c r="AG1388" s="31"/>
    </row>
    <row r="1389" spans="1:33" s="32" customFormat="1" ht="15" customHeight="1">
      <c r="A1389" s="37">
        <v>43619</v>
      </c>
      <c r="B1389" s="20" t="s">
        <v>420</v>
      </c>
      <c r="C1389" s="20" t="s">
        <v>47</v>
      </c>
      <c r="D1389" s="20">
        <v>1440</v>
      </c>
      <c r="E1389" s="38">
        <v>600</v>
      </c>
      <c r="F1389" s="20" t="s">
        <v>8</v>
      </c>
      <c r="G1389" s="43">
        <v>35</v>
      </c>
      <c r="H1389" s="43">
        <v>37.5</v>
      </c>
      <c r="I1389" s="43">
        <v>42.3</v>
      </c>
      <c r="J1389" s="43">
        <v>0</v>
      </c>
      <c r="K1389" s="1">
        <f t="shared" si="2280"/>
        <v>1500</v>
      </c>
      <c r="L1389" s="43">
        <f>E1389*4.8</f>
        <v>2880</v>
      </c>
      <c r="M1389" s="43">
        <v>0</v>
      </c>
      <c r="N1389" s="1">
        <f t="shared" si="2271"/>
        <v>7.3</v>
      </c>
      <c r="O1389" s="1">
        <f t="shared" si="2275"/>
        <v>4380</v>
      </c>
      <c r="P1389" s="31"/>
      <c r="Q1389" s="31"/>
      <c r="R1389" s="31"/>
      <c r="S1389" s="31"/>
      <c r="T1389" s="31"/>
      <c r="U1389" s="31"/>
      <c r="V1389" s="31"/>
      <c r="W1389" s="31"/>
      <c r="X1389" s="31"/>
      <c r="Y1389" s="31"/>
      <c r="Z1389" s="31"/>
      <c r="AA1389" s="31"/>
      <c r="AB1389" s="31"/>
      <c r="AC1389" s="31"/>
      <c r="AD1389" s="31"/>
      <c r="AE1389" s="31"/>
      <c r="AF1389" s="31"/>
      <c r="AG1389" s="31"/>
    </row>
    <row r="1390" spans="1:33" s="32" customFormat="1" ht="15" customHeight="1">
      <c r="A1390" s="37">
        <v>43619</v>
      </c>
      <c r="B1390" s="20" t="s">
        <v>38</v>
      </c>
      <c r="C1390" s="20" t="s">
        <v>47</v>
      </c>
      <c r="D1390" s="20">
        <v>7000</v>
      </c>
      <c r="E1390" s="38">
        <v>75</v>
      </c>
      <c r="F1390" s="20" t="s">
        <v>8</v>
      </c>
      <c r="G1390" s="43">
        <v>200</v>
      </c>
      <c r="H1390" s="43">
        <v>220</v>
      </c>
      <c r="I1390" s="43">
        <v>0</v>
      </c>
      <c r="J1390" s="43">
        <v>0</v>
      </c>
      <c r="K1390" s="1">
        <f t="shared" si="2280"/>
        <v>1500</v>
      </c>
      <c r="L1390" s="43">
        <v>0</v>
      </c>
      <c r="M1390" s="43">
        <v>0</v>
      </c>
      <c r="N1390" s="1">
        <f t="shared" si="2271"/>
        <v>20</v>
      </c>
      <c r="O1390" s="1">
        <f t="shared" si="2275"/>
        <v>1500</v>
      </c>
      <c r="P1390" s="31"/>
      <c r="Q1390" s="31"/>
      <c r="R1390" s="31"/>
      <c r="S1390" s="31"/>
      <c r="T1390" s="31"/>
      <c r="U1390" s="31"/>
      <c r="V1390" s="31"/>
      <c r="W1390" s="31"/>
      <c r="X1390" s="31"/>
      <c r="Y1390" s="31"/>
      <c r="Z1390" s="31"/>
      <c r="AA1390" s="31"/>
      <c r="AB1390" s="31"/>
      <c r="AC1390" s="31"/>
      <c r="AD1390" s="31"/>
      <c r="AE1390" s="31"/>
      <c r="AF1390" s="31"/>
      <c r="AG1390" s="31"/>
    </row>
    <row r="1391" spans="1:33" s="32" customFormat="1" ht="15" customHeight="1">
      <c r="A1391" s="37">
        <v>43619</v>
      </c>
      <c r="B1391" s="20" t="s">
        <v>58</v>
      </c>
      <c r="C1391" s="20" t="s">
        <v>47</v>
      </c>
      <c r="D1391" s="20">
        <v>600</v>
      </c>
      <c r="E1391" s="38">
        <v>100</v>
      </c>
      <c r="F1391" s="20" t="s">
        <v>8</v>
      </c>
      <c r="G1391" s="43">
        <v>16</v>
      </c>
      <c r="H1391" s="43">
        <v>15.4</v>
      </c>
      <c r="I1391" s="43">
        <v>0</v>
      </c>
      <c r="J1391" s="43">
        <v>0</v>
      </c>
      <c r="K1391" s="1">
        <f t="shared" si="2280"/>
        <v>-59.999999999999964</v>
      </c>
      <c r="L1391" s="43">
        <v>0</v>
      </c>
      <c r="M1391" s="43">
        <v>0</v>
      </c>
      <c r="N1391" s="1">
        <f t="shared" si="2271"/>
        <v>-0.59999999999999964</v>
      </c>
      <c r="O1391" s="1">
        <f t="shared" si="2275"/>
        <v>-59.999999999999964</v>
      </c>
      <c r="P1391" s="31"/>
      <c r="Q1391" s="31"/>
      <c r="R1391" s="31"/>
      <c r="S1391" s="31"/>
      <c r="T1391" s="31"/>
      <c r="U1391" s="31"/>
      <c r="V1391" s="31"/>
      <c r="W1391" s="31"/>
      <c r="X1391" s="31"/>
      <c r="Y1391" s="31"/>
      <c r="Z1391" s="31"/>
      <c r="AA1391" s="31"/>
      <c r="AB1391" s="31"/>
      <c r="AC1391" s="31"/>
      <c r="AD1391" s="31"/>
      <c r="AE1391" s="31"/>
      <c r="AF1391" s="31"/>
      <c r="AG1391" s="31"/>
    </row>
    <row r="1392" spans="1:33" s="32" customFormat="1" ht="15" customHeight="1">
      <c r="A1392" s="37">
        <v>43616</v>
      </c>
      <c r="B1392" s="20" t="s">
        <v>332</v>
      </c>
      <c r="C1392" s="20" t="s">
        <v>47</v>
      </c>
      <c r="D1392" s="20">
        <v>750</v>
      </c>
      <c r="E1392" s="38">
        <v>1200</v>
      </c>
      <c r="F1392" s="20" t="s">
        <v>8</v>
      </c>
      <c r="G1392" s="43">
        <v>23</v>
      </c>
      <c r="H1392" s="43">
        <v>24.3</v>
      </c>
      <c r="I1392" s="43">
        <v>27</v>
      </c>
      <c r="J1392" s="43">
        <v>0</v>
      </c>
      <c r="K1392" s="1">
        <f t="shared" ref="K1392:K1394" si="2281">(IF(F1392="SELL",G1392-H1392,IF(F1392="BUY",H1392-G1392)))*E1392</f>
        <v>1560.0000000000009</v>
      </c>
      <c r="L1392" s="43">
        <f>E1392*2.7</f>
        <v>3240</v>
      </c>
      <c r="M1392" s="43">
        <v>0</v>
      </c>
      <c r="N1392" s="1">
        <f t="shared" si="2271"/>
        <v>4.0000000000000009</v>
      </c>
      <c r="O1392" s="1">
        <f t="shared" si="2275"/>
        <v>4800.0000000000009</v>
      </c>
      <c r="P1392" s="31"/>
      <c r="Q1392" s="31"/>
      <c r="R1392" s="31"/>
      <c r="S1392" s="31"/>
      <c r="T1392" s="31"/>
      <c r="U1392" s="31"/>
      <c r="V1392" s="31"/>
      <c r="W1392" s="31"/>
      <c r="X1392" s="31"/>
      <c r="Y1392" s="31"/>
      <c r="Z1392" s="31"/>
      <c r="AA1392" s="31"/>
      <c r="AB1392" s="31"/>
      <c r="AC1392" s="31"/>
      <c r="AD1392" s="31"/>
      <c r="AE1392" s="31"/>
      <c r="AF1392" s="31"/>
      <c r="AG1392" s="31"/>
    </row>
    <row r="1393" spans="1:33" s="32" customFormat="1" ht="15" customHeight="1">
      <c r="A1393" s="37">
        <v>43616</v>
      </c>
      <c r="B1393" s="20" t="s">
        <v>63</v>
      </c>
      <c r="C1393" s="20" t="s">
        <v>47</v>
      </c>
      <c r="D1393" s="20">
        <v>320</v>
      </c>
      <c r="E1393" s="38">
        <v>2100</v>
      </c>
      <c r="F1393" s="20" t="s">
        <v>8</v>
      </c>
      <c r="G1393" s="43">
        <v>13</v>
      </c>
      <c r="H1393" s="43">
        <v>13.8</v>
      </c>
      <c r="I1393" s="43">
        <v>0</v>
      </c>
      <c r="J1393" s="43">
        <v>0</v>
      </c>
      <c r="K1393" s="1">
        <f t="shared" si="2281"/>
        <v>1680.0000000000016</v>
      </c>
      <c r="L1393" s="43">
        <v>0</v>
      </c>
      <c r="M1393" s="43">
        <v>0</v>
      </c>
      <c r="N1393" s="1">
        <f t="shared" si="2271"/>
        <v>0.80000000000000071</v>
      </c>
      <c r="O1393" s="1">
        <f t="shared" si="2275"/>
        <v>1680.0000000000016</v>
      </c>
      <c r="P1393" s="31"/>
      <c r="Q1393" s="31"/>
      <c r="R1393" s="31"/>
      <c r="S1393" s="31"/>
      <c r="T1393" s="31"/>
      <c r="U1393" s="31"/>
      <c r="V1393" s="31"/>
      <c r="W1393" s="31"/>
      <c r="X1393" s="31"/>
      <c r="Y1393" s="31"/>
      <c r="Z1393" s="31"/>
      <c r="AA1393" s="31"/>
      <c r="AB1393" s="31"/>
      <c r="AC1393" s="31"/>
      <c r="AD1393" s="31"/>
      <c r="AE1393" s="31"/>
      <c r="AF1393" s="31"/>
      <c r="AG1393" s="31"/>
    </row>
    <row r="1394" spans="1:33" s="32" customFormat="1" ht="15" customHeight="1">
      <c r="A1394" s="37">
        <v>43616</v>
      </c>
      <c r="B1394" s="20" t="s">
        <v>24</v>
      </c>
      <c r="C1394" s="20" t="s">
        <v>46</v>
      </c>
      <c r="D1394" s="20">
        <v>170</v>
      </c>
      <c r="E1394" s="38">
        <v>2000</v>
      </c>
      <c r="F1394" s="20" t="s">
        <v>8</v>
      </c>
      <c r="G1394" s="43">
        <v>7.5</v>
      </c>
      <c r="H1394" s="43">
        <v>8.35</v>
      </c>
      <c r="I1394" s="43">
        <v>0</v>
      </c>
      <c r="J1394" s="43">
        <v>0</v>
      </c>
      <c r="K1394" s="1">
        <f t="shared" si="2281"/>
        <v>1699.9999999999993</v>
      </c>
      <c r="L1394" s="43">
        <v>0</v>
      </c>
      <c r="M1394" s="43">
        <v>0</v>
      </c>
      <c r="N1394" s="1">
        <f t="shared" si="2271"/>
        <v>0.84999999999999964</v>
      </c>
      <c r="O1394" s="1">
        <f t="shared" si="2275"/>
        <v>1699.9999999999993</v>
      </c>
      <c r="P1394" s="31"/>
      <c r="Q1394" s="31"/>
      <c r="R1394" s="31"/>
      <c r="S1394" s="31"/>
      <c r="T1394" s="31"/>
      <c r="U1394" s="31"/>
      <c r="V1394" s="31"/>
      <c r="W1394" s="31"/>
      <c r="X1394" s="31"/>
      <c r="Y1394" s="31"/>
      <c r="Z1394" s="31"/>
      <c r="AA1394" s="31"/>
      <c r="AB1394" s="31"/>
      <c r="AC1394" s="31"/>
      <c r="AD1394" s="31"/>
      <c r="AE1394" s="31"/>
      <c r="AF1394" s="31"/>
      <c r="AG1394" s="31"/>
    </row>
    <row r="1395" spans="1:33" s="32" customFormat="1" ht="15" customHeight="1">
      <c r="A1395" s="37">
        <v>43615</v>
      </c>
      <c r="B1395" s="20" t="s">
        <v>65</v>
      </c>
      <c r="C1395" s="20" t="s">
        <v>47</v>
      </c>
      <c r="D1395" s="20">
        <v>720</v>
      </c>
      <c r="E1395" s="38">
        <v>1400</v>
      </c>
      <c r="F1395" s="20" t="s">
        <v>8</v>
      </c>
      <c r="G1395" s="43">
        <v>3.5</v>
      </c>
      <c r="H1395" s="43">
        <v>6</v>
      </c>
      <c r="I1395" s="43">
        <v>9</v>
      </c>
      <c r="J1395" s="43">
        <v>0</v>
      </c>
      <c r="K1395" s="1">
        <f>(IF(F1395="SELL",G1395-H1395,IF(F1395="BUY",H1395-G1395)))*E1395</f>
        <v>3500</v>
      </c>
      <c r="L1395" s="43">
        <f>E1395*3</f>
        <v>4200</v>
      </c>
      <c r="M1395" s="43">
        <v>0</v>
      </c>
      <c r="N1395" s="1">
        <f t="shared" si="2271"/>
        <v>5.5</v>
      </c>
      <c r="O1395" s="1">
        <f t="shared" si="2275"/>
        <v>7700</v>
      </c>
      <c r="P1395" s="31"/>
      <c r="Q1395" s="31"/>
      <c r="R1395" s="31"/>
      <c r="S1395" s="31"/>
      <c r="T1395" s="31"/>
      <c r="U1395" s="31"/>
      <c r="V1395" s="31"/>
      <c r="W1395" s="31"/>
      <c r="X1395" s="31"/>
      <c r="Y1395" s="31"/>
      <c r="Z1395" s="31"/>
      <c r="AA1395" s="31"/>
      <c r="AB1395" s="31"/>
      <c r="AC1395" s="31"/>
      <c r="AD1395" s="31"/>
      <c r="AE1395" s="31"/>
      <c r="AF1395" s="31"/>
      <c r="AG1395" s="31"/>
    </row>
    <row r="1396" spans="1:33" s="32" customFormat="1" ht="15" customHeight="1">
      <c r="A1396" s="37">
        <v>43615</v>
      </c>
      <c r="B1396" s="20" t="s">
        <v>418</v>
      </c>
      <c r="C1396" s="20" t="s">
        <v>47</v>
      </c>
      <c r="D1396" s="20">
        <v>390</v>
      </c>
      <c r="E1396" s="38">
        <v>1500</v>
      </c>
      <c r="F1396" s="20" t="s">
        <v>8</v>
      </c>
      <c r="G1396" s="43">
        <v>4</v>
      </c>
      <c r="H1396" s="43">
        <v>6</v>
      </c>
      <c r="I1396" s="43">
        <v>0</v>
      </c>
      <c r="J1396" s="43">
        <v>0</v>
      </c>
      <c r="K1396" s="1">
        <f t="shared" ref="K1396:K1397" si="2282">(IF(F1396="SELL",G1396-H1396,IF(F1396="BUY",H1396-G1396)))*E1396</f>
        <v>3000</v>
      </c>
      <c r="L1396" s="43">
        <v>0</v>
      </c>
      <c r="M1396" s="43">
        <v>0</v>
      </c>
      <c r="N1396" s="1">
        <f t="shared" si="2271"/>
        <v>2</v>
      </c>
      <c r="O1396" s="1">
        <f t="shared" si="2275"/>
        <v>3000</v>
      </c>
      <c r="P1396" s="31"/>
      <c r="Q1396" s="31"/>
      <c r="R1396" s="31"/>
      <c r="S1396" s="31"/>
      <c r="T1396" s="31"/>
      <c r="U1396" s="31"/>
      <c r="V1396" s="31"/>
      <c r="W1396" s="31"/>
      <c r="X1396" s="31"/>
      <c r="Y1396" s="31"/>
      <c r="Z1396" s="31"/>
      <c r="AA1396" s="31"/>
      <c r="AB1396" s="31"/>
      <c r="AC1396" s="31"/>
      <c r="AD1396" s="31"/>
      <c r="AE1396" s="31"/>
      <c r="AF1396" s="31"/>
      <c r="AG1396" s="31"/>
    </row>
    <row r="1397" spans="1:33" s="32" customFormat="1" ht="15" customHeight="1">
      <c r="A1397" s="37">
        <v>43615</v>
      </c>
      <c r="B1397" s="20" t="s">
        <v>414</v>
      </c>
      <c r="C1397" s="20" t="s">
        <v>47</v>
      </c>
      <c r="D1397" s="20">
        <v>150</v>
      </c>
      <c r="E1397" s="38">
        <v>1750</v>
      </c>
      <c r="F1397" s="20" t="s">
        <v>8</v>
      </c>
      <c r="G1397" s="43">
        <v>4.5</v>
      </c>
      <c r="H1397" s="43">
        <v>5.5</v>
      </c>
      <c r="I1397" s="43">
        <v>0</v>
      </c>
      <c r="J1397" s="43">
        <v>0</v>
      </c>
      <c r="K1397" s="1">
        <f t="shared" si="2282"/>
        <v>1750</v>
      </c>
      <c r="L1397" s="43">
        <v>0</v>
      </c>
      <c r="M1397" s="43">
        <v>0</v>
      </c>
      <c r="N1397" s="1">
        <f t="shared" si="2271"/>
        <v>1</v>
      </c>
      <c r="O1397" s="1">
        <f t="shared" si="2275"/>
        <v>1750</v>
      </c>
      <c r="P1397" s="31"/>
      <c r="Q1397" s="31"/>
      <c r="R1397" s="31"/>
      <c r="S1397" s="31"/>
      <c r="T1397" s="31"/>
      <c r="U1397" s="31"/>
      <c r="V1397" s="31"/>
      <c r="W1397" s="31"/>
      <c r="X1397" s="31"/>
      <c r="Y1397" s="31"/>
      <c r="Z1397" s="31"/>
      <c r="AA1397" s="31"/>
      <c r="AB1397" s="31"/>
      <c r="AC1397" s="31"/>
      <c r="AD1397" s="31"/>
      <c r="AE1397" s="31"/>
      <c r="AF1397" s="31"/>
      <c r="AG1397" s="31"/>
    </row>
    <row r="1398" spans="1:33" s="32" customFormat="1" ht="15" customHeight="1">
      <c r="A1398" s="37">
        <v>43614</v>
      </c>
      <c r="B1398" s="20" t="s">
        <v>77</v>
      </c>
      <c r="C1398" s="20" t="s">
        <v>47</v>
      </c>
      <c r="D1398" s="20">
        <v>350</v>
      </c>
      <c r="E1398" s="38">
        <v>2667</v>
      </c>
      <c r="F1398" s="20" t="s">
        <v>8</v>
      </c>
      <c r="G1398" s="43">
        <v>6.5</v>
      </c>
      <c r="H1398" s="43">
        <v>7.75</v>
      </c>
      <c r="I1398" s="43">
        <v>9</v>
      </c>
      <c r="J1398" s="43">
        <v>11</v>
      </c>
      <c r="K1398" s="1">
        <f t="shared" ref="K1398:K1401" si="2283">(IF(F1398="SELL",G1398-H1398,IF(F1398="BUY",H1398-G1398)))*E1398</f>
        <v>3333.75</v>
      </c>
      <c r="L1398" s="43">
        <f>E1398*1.25</f>
        <v>3333.75</v>
      </c>
      <c r="M1398" s="43">
        <f>E1398*2</f>
        <v>5334</v>
      </c>
      <c r="N1398" s="1">
        <f t="shared" si="2271"/>
        <v>4.5</v>
      </c>
      <c r="O1398" s="1">
        <f t="shared" si="2275"/>
        <v>12001.5</v>
      </c>
      <c r="P1398" s="31"/>
      <c r="Q1398" s="31"/>
      <c r="R1398" s="31"/>
      <c r="S1398" s="31"/>
      <c r="T1398" s="31"/>
      <c r="U1398" s="31"/>
      <c r="V1398" s="31"/>
      <c r="W1398" s="31"/>
      <c r="X1398" s="31"/>
      <c r="Y1398" s="31"/>
      <c r="Z1398" s="31"/>
      <c r="AA1398" s="31"/>
      <c r="AB1398" s="31"/>
      <c r="AC1398" s="31"/>
      <c r="AD1398" s="31"/>
      <c r="AE1398" s="31"/>
      <c r="AF1398" s="31"/>
      <c r="AG1398" s="31"/>
    </row>
    <row r="1399" spans="1:33" s="32" customFormat="1" ht="15" customHeight="1">
      <c r="A1399" s="37">
        <v>43614</v>
      </c>
      <c r="B1399" s="20" t="s">
        <v>71</v>
      </c>
      <c r="C1399" s="20" t="s">
        <v>47</v>
      </c>
      <c r="D1399" s="20">
        <v>290</v>
      </c>
      <c r="E1399" s="38">
        <v>1500</v>
      </c>
      <c r="F1399" s="20" t="s">
        <v>8</v>
      </c>
      <c r="G1399" s="43">
        <v>6</v>
      </c>
      <c r="H1399" s="43">
        <v>3</v>
      </c>
      <c r="I1399" s="43">
        <v>0</v>
      </c>
      <c r="J1399" s="43">
        <v>0</v>
      </c>
      <c r="K1399" s="1">
        <f t="shared" si="2283"/>
        <v>-4500</v>
      </c>
      <c r="L1399" s="43">
        <v>0</v>
      </c>
      <c r="M1399" s="43">
        <v>0</v>
      </c>
      <c r="N1399" s="1">
        <f t="shared" si="2271"/>
        <v>-3</v>
      </c>
      <c r="O1399" s="1">
        <f t="shared" si="2275"/>
        <v>-4500</v>
      </c>
      <c r="P1399" s="31"/>
      <c r="Q1399" s="31"/>
      <c r="R1399" s="31"/>
      <c r="S1399" s="31"/>
      <c r="T1399" s="31"/>
      <c r="U1399" s="31"/>
      <c r="V1399" s="31"/>
      <c r="W1399" s="31"/>
      <c r="X1399" s="31"/>
      <c r="Y1399" s="31"/>
      <c r="Z1399" s="31"/>
      <c r="AA1399" s="31"/>
      <c r="AB1399" s="31"/>
      <c r="AC1399" s="31"/>
      <c r="AD1399" s="31"/>
      <c r="AE1399" s="31"/>
      <c r="AF1399" s="31"/>
      <c r="AG1399" s="31"/>
    </row>
    <row r="1400" spans="1:33" s="32" customFormat="1" ht="15" customHeight="1">
      <c r="A1400" s="37">
        <v>43614</v>
      </c>
      <c r="B1400" s="20" t="s">
        <v>73</v>
      </c>
      <c r="C1400" s="20" t="s">
        <v>46</v>
      </c>
      <c r="D1400" s="20">
        <v>150</v>
      </c>
      <c r="E1400" s="38">
        <v>1560</v>
      </c>
      <c r="F1400" s="20" t="s">
        <v>8</v>
      </c>
      <c r="G1400" s="43">
        <v>12</v>
      </c>
      <c r="H1400" s="43">
        <v>16</v>
      </c>
      <c r="I1400" s="43">
        <v>0</v>
      </c>
      <c r="J1400" s="43">
        <v>0</v>
      </c>
      <c r="K1400" s="1">
        <f t="shared" si="2283"/>
        <v>6240</v>
      </c>
      <c r="L1400" s="43">
        <v>0</v>
      </c>
      <c r="M1400" s="43">
        <v>0</v>
      </c>
      <c r="N1400" s="1">
        <f t="shared" si="2271"/>
        <v>4</v>
      </c>
      <c r="O1400" s="1">
        <f t="shared" si="2275"/>
        <v>6240</v>
      </c>
      <c r="P1400" s="31"/>
      <c r="Q1400" s="31"/>
      <c r="R1400" s="31"/>
      <c r="S1400" s="31"/>
      <c r="T1400" s="31"/>
      <c r="U1400" s="31"/>
      <c r="V1400" s="31"/>
      <c r="W1400" s="31"/>
      <c r="X1400" s="31"/>
      <c r="Y1400" s="31"/>
      <c r="Z1400" s="31"/>
      <c r="AA1400" s="31"/>
      <c r="AB1400" s="31"/>
      <c r="AC1400" s="31"/>
      <c r="AD1400" s="31"/>
      <c r="AE1400" s="31"/>
      <c r="AF1400" s="31"/>
      <c r="AG1400" s="31"/>
    </row>
    <row r="1401" spans="1:33" s="32" customFormat="1" ht="15" customHeight="1">
      <c r="A1401" s="37">
        <v>43614</v>
      </c>
      <c r="B1401" s="20" t="s">
        <v>22</v>
      </c>
      <c r="C1401" s="20" t="s">
        <v>46</v>
      </c>
      <c r="D1401" s="20">
        <v>190</v>
      </c>
      <c r="E1401" s="38">
        <v>2600</v>
      </c>
      <c r="F1401" s="20" t="s">
        <v>8</v>
      </c>
      <c r="G1401" s="43">
        <v>1.9</v>
      </c>
      <c r="H1401" s="43">
        <v>0.65</v>
      </c>
      <c r="I1401" s="43">
        <v>0</v>
      </c>
      <c r="J1401" s="43">
        <v>0</v>
      </c>
      <c r="K1401" s="1">
        <f t="shared" si="2283"/>
        <v>-3250</v>
      </c>
      <c r="L1401" s="43">
        <v>0</v>
      </c>
      <c r="M1401" s="43">
        <v>0</v>
      </c>
      <c r="N1401" s="1">
        <f t="shared" si="2271"/>
        <v>-1.25</v>
      </c>
      <c r="O1401" s="1">
        <f t="shared" si="2275"/>
        <v>-3250</v>
      </c>
      <c r="P1401" s="31"/>
      <c r="Q1401" s="31"/>
      <c r="R1401" s="31"/>
      <c r="S1401" s="31"/>
      <c r="T1401" s="31"/>
      <c r="U1401" s="31"/>
      <c r="V1401" s="31"/>
      <c r="W1401" s="31"/>
      <c r="X1401" s="31"/>
      <c r="Y1401" s="31"/>
      <c r="Z1401" s="31"/>
      <c r="AA1401" s="31"/>
      <c r="AB1401" s="31"/>
      <c r="AC1401" s="31"/>
      <c r="AD1401" s="31"/>
      <c r="AE1401" s="31"/>
      <c r="AF1401" s="31"/>
      <c r="AG1401" s="31"/>
    </row>
    <row r="1402" spans="1:33" s="32" customFormat="1" ht="15" customHeight="1">
      <c r="A1402" s="37">
        <v>43613</v>
      </c>
      <c r="B1402" s="20" t="s">
        <v>395</v>
      </c>
      <c r="C1402" s="20" t="s">
        <v>47</v>
      </c>
      <c r="D1402" s="20">
        <v>400</v>
      </c>
      <c r="E1402" s="38">
        <v>1800</v>
      </c>
      <c r="F1402" s="20" t="s">
        <v>8</v>
      </c>
      <c r="G1402" s="43">
        <v>8.1999999999999993</v>
      </c>
      <c r="H1402" s="43">
        <v>9.1999999999999993</v>
      </c>
      <c r="I1402" s="43">
        <v>11</v>
      </c>
      <c r="J1402" s="43">
        <v>0</v>
      </c>
      <c r="K1402" s="1">
        <f>(IF(F1402="SELL",G1402-H1402,IF(F1402="BUY",H1402-G1402)))*E1402</f>
        <v>1800</v>
      </c>
      <c r="L1402" s="43">
        <f>E1402*1.8</f>
        <v>3240</v>
      </c>
      <c r="M1402" s="43">
        <v>0</v>
      </c>
      <c r="N1402" s="1">
        <f t="shared" si="2271"/>
        <v>2.8</v>
      </c>
      <c r="O1402" s="1">
        <f t="shared" si="2275"/>
        <v>5040</v>
      </c>
      <c r="P1402" s="31"/>
      <c r="Q1402" s="31"/>
      <c r="R1402" s="31"/>
      <c r="S1402" s="31"/>
      <c r="T1402" s="31"/>
      <c r="U1402" s="31"/>
      <c r="V1402" s="31"/>
      <c r="W1402" s="31"/>
      <c r="X1402" s="31"/>
      <c r="Y1402" s="31"/>
      <c r="Z1402" s="31"/>
      <c r="AA1402" s="31"/>
      <c r="AB1402" s="31"/>
      <c r="AC1402" s="31"/>
      <c r="AD1402" s="31"/>
      <c r="AE1402" s="31"/>
      <c r="AF1402" s="31"/>
      <c r="AG1402" s="31"/>
    </row>
    <row r="1403" spans="1:33" s="32" customFormat="1" ht="15" customHeight="1">
      <c r="A1403" s="37">
        <v>43613</v>
      </c>
      <c r="B1403" s="20" t="s">
        <v>414</v>
      </c>
      <c r="C1403" s="20" t="s">
        <v>47</v>
      </c>
      <c r="D1403" s="20">
        <v>150</v>
      </c>
      <c r="E1403" s="38">
        <v>1750</v>
      </c>
      <c r="F1403" s="20" t="s">
        <v>8</v>
      </c>
      <c r="G1403" s="43">
        <v>4</v>
      </c>
      <c r="H1403" s="43">
        <v>5.5</v>
      </c>
      <c r="I1403" s="43">
        <v>0</v>
      </c>
      <c r="J1403" s="43">
        <v>0</v>
      </c>
      <c r="K1403" s="1">
        <f t="shared" ref="K1403:K1405" si="2284">(IF(F1403="SELL",G1403-H1403,IF(F1403="BUY",H1403-G1403)))*E1403</f>
        <v>2625</v>
      </c>
      <c r="L1403" s="43">
        <v>0</v>
      </c>
      <c r="M1403" s="43">
        <v>0</v>
      </c>
      <c r="N1403" s="1">
        <f t="shared" si="2271"/>
        <v>1.5</v>
      </c>
      <c r="O1403" s="1">
        <f t="shared" si="2275"/>
        <v>2625</v>
      </c>
      <c r="P1403" s="31"/>
      <c r="Q1403" s="31"/>
      <c r="R1403" s="31"/>
      <c r="S1403" s="31"/>
      <c r="T1403" s="31"/>
      <c r="U1403" s="31"/>
      <c r="V1403" s="31"/>
      <c r="W1403" s="31"/>
      <c r="X1403" s="31"/>
      <c r="Y1403" s="31"/>
      <c r="Z1403" s="31"/>
      <c r="AA1403" s="31"/>
      <c r="AB1403" s="31"/>
      <c r="AC1403" s="31"/>
      <c r="AD1403" s="31"/>
      <c r="AE1403" s="31"/>
      <c r="AF1403" s="31"/>
      <c r="AG1403" s="31"/>
    </row>
    <row r="1404" spans="1:33" s="32" customFormat="1" ht="15" customHeight="1">
      <c r="A1404" s="37">
        <v>43613</v>
      </c>
      <c r="B1404" s="20" t="s">
        <v>71</v>
      </c>
      <c r="C1404" s="20" t="s">
        <v>47</v>
      </c>
      <c r="D1404" s="20">
        <v>290</v>
      </c>
      <c r="E1404" s="38">
        <v>1500</v>
      </c>
      <c r="F1404" s="20" t="s">
        <v>8</v>
      </c>
      <c r="G1404" s="43">
        <v>6.5</v>
      </c>
      <c r="H1404" s="43">
        <v>8</v>
      </c>
      <c r="I1404" s="43">
        <v>0</v>
      </c>
      <c r="J1404" s="43">
        <v>0</v>
      </c>
      <c r="K1404" s="1">
        <f t="shared" si="2284"/>
        <v>2250</v>
      </c>
      <c r="L1404" s="43">
        <v>0</v>
      </c>
      <c r="M1404" s="43">
        <v>0</v>
      </c>
      <c r="N1404" s="1">
        <f t="shared" si="2271"/>
        <v>1.5</v>
      </c>
      <c r="O1404" s="1">
        <f t="shared" si="2275"/>
        <v>2250</v>
      </c>
      <c r="P1404" s="31"/>
      <c r="Q1404" s="31"/>
      <c r="R1404" s="31"/>
      <c r="S1404" s="31"/>
      <c r="T1404" s="31"/>
      <c r="U1404" s="31"/>
      <c r="V1404" s="31"/>
      <c r="W1404" s="31"/>
      <c r="X1404" s="31"/>
      <c r="Y1404" s="31"/>
      <c r="Z1404" s="31"/>
      <c r="AA1404" s="31"/>
      <c r="AB1404" s="31"/>
      <c r="AC1404" s="31"/>
      <c r="AD1404" s="31"/>
      <c r="AE1404" s="31"/>
      <c r="AF1404" s="31"/>
      <c r="AG1404" s="31"/>
    </row>
    <row r="1405" spans="1:33" s="32" customFormat="1" ht="15" customHeight="1">
      <c r="A1405" s="37">
        <v>43613</v>
      </c>
      <c r="B1405" s="20" t="s">
        <v>37</v>
      </c>
      <c r="C1405" s="20" t="s">
        <v>47</v>
      </c>
      <c r="D1405" s="20">
        <v>2100</v>
      </c>
      <c r="E1405" s="38">
        <v>250</v>
      </c>
      <c r="F1405" s="20" t="s">
        <v>8</v>
      </c>
      <c r="G1405" s="43">
        <v>20</v>
      </c>
      <c r="H1405" s="43">
        <v>14.45</v>
      </c>
      <c r="I1405" s="43">
        <v>0</v>
      </c>
      <c r="J1405" s="43">
        <v>0</v>
      </c>
      <c r="K1405" s="1">
        <f t="shared" si="2284"/>
        <v>-1387.5000000000002</v>
      </c>
      <c r="L1405" s="43">
        <v>0</v>
      </c>
      <c r="M1405" s="43">
        <v>0</v>
      </c>
      <c r="N1405" s="1">
        <f t="shared" si="2271"/>
        <v>-5.5500000000000007</v>
      </c>
      <c r="O1405" s="1">
        <f t="shared" si="2275"/>
        <v>-1387.5000000000002</v>
      </c>
      <c r="P1405" s="31"/>
      <c r="Q1405" s="31"/>
      <c r="R1405" s="31"/>
      <c r="S1405" s="31"/>
      <c r="T1405" s="31"/>
      <c r="U1405" s="31"/>
      <c r="V1405" s="31"/>
      <c r="W1405" s="31"/>
      <c r="X1405" s="31"/>
      <c r="Y1405" s="31"/>
      <c r="Z1405" s="31"/>
      <c r="AA1405" s="31"/>
      <c r="AB1405" s="31"/>
      <c r="AC1405" s="31"/>
      <c r="AD1405" s="31"/>
      <c r="AE1405" s="31"/>
      <c r="AF1405" s="31"/>
      <c r="AG1405" s="31"/>
    </row>
    <row r="1406" spans="1:33" s="32" customFormat="1" ht="15" customHeight="1">
      <c r="A1406" s="37">
        <v>43612</v>
      </c>
      <c r="B1406" s="20" t="s">
        <v>73</v>
      </c>
      <c r="C1406" s="20" t="s">
        <v>47</v>
      </c>
      <c r="D1406" s="20">
        <v>1540</v>
      </c>
      <c r="E1406" s="38">
        <v>375</v>
      </c>
      <c r="F1406" s="20" t="s">
        <v>8</v>
      </c>
      <c r="G1406" s="43">
        <v>28</v>
      </c>
      <c r="H1406" s="43">
        <v>33</v>
      </c>
      <c r="I1406" s="43">
        <v>43</v>
      </c>
      <c r="J1406" s="43">
        <v>0</v>
      </c>
      <c r="K1406" s="1">
        <f t="shared" ref="K1406:K1409" si="2285">(IF(F1406="SELL",G1406-H1406,IF(F1406="BUY",H1406-G1406)))*E1406</f>
        <v>1875</v>
      </c>
      <c r="L1406" s="43">
        <f>E1406*10</f>
        <v>3750</v>
      </c>
      <c r="M1406" s="43">
        <v>0</v>
      </c>
      <c r="N1406" s="1">
        <f t="shared" si="2271"/>
        <v>15</v>
      </c>
      <c r="O1406" s="1">
        <f t="shared" si="2275"/>
        <v>5625</v>
      </c>
      <c r="P1406" s="31"/>
      <c r="Q1406" s="31"/>
      <c r="R1406" s="31"/>
      <c r="S1406" s="31"/>
      <c r="T1406" s="31"/>
      <c r="U1406" s="31"/>
      <c r="V1406" s="31"/>
      <c r="W1406" s="31"/>
      <c r="X1406" s="31"/>
      <c r="Y1406" s="31"/>
      <c r="Z1406" s="31"/>
      <c r="AA1406" s="31"/>
      <c r="AB1406" s="31"/>
      <c r="AC1406" s="31"/>
      <c r="AD1406" s="31"/>
      <c r="AE1406" s="31"/>
      <c r="AF1406" s="31"/>
      <c r="AG1406" s="31"/>
    </row>
    <row r="1407" spans="1:33" s="32" customFormat="1" ht="15" customHeight="1">
      <c r="A1407" s="37">
        <v>43612</v>
      </c>
      <c r="B1407" s="20" t="s">
        <v>72</v>
      </c>
      <c r="C1407" s="20" t="s">
        <v>47</v>
      </c>
      <c r="D1407" s="20">
        <v>400</v>
      </c>
      <c r="E1407" s="38">
        <v>1800</v>
      </c>
      <c r="F1407" s="20" t="s">
        <v>8</v>
      </c>
      <c r="G1407" s="43">
        <v>6.2</v>
      </c>
      <c r="H1407" s="43">
        <v>7.2</v>
      </c>
      <c r="I1407" s="43">
        <v>9</v>
      </c>
      <c r="J1407" s="43">
        <v>0</v>
      </c>
      <c r="K1407" s="1">
        <f t="shared" si="2285"/>
        <v>1800</v>
      </c>
      <c r="L1407" s="43">
        <f>E1407*1.8</f>
        <v>3240</v>
      </c>
      <c r="M1407" s="43">
        <v>0</v>
      </c>
      <c r="N1407" s="1">
        <f t="shared" si="2271"/>
        <v>2.8</v>
      </c>
      <c r="O1407" s="1">
        <f t="shared" si="2275"/>
        <v>5040</v>
      </c>
      <c r="P1407" s="31"/>
      <c r="Q1407" s="31"/>
      <c r="R1407" s="31"/>
      <c r="S1407" s="31"/>
      <c r="T1407" s="31"/>
      <c r="U1407" s="31"/>
      <c r="V1407" s="31"/>
      <c r="W1407" s="31"/>
      <c r="X1407" s="31"/>
      <c r="Y1407" s="31"/>
      <c r="Z1407" s="31"/>
      <c r="AA1407" s="31"/>
      <c r="AB1407" s="31"/>
      <c r="AC1407" s="31"/>
      <c r="AD1407" s="31"/>
      <c r="AE1407" s="31"/>
      <c r="AF1407" s="31"/>
      <c r="AG1407" s="31"/>
    </row>
    <row r="1408" spans="1:33" s="32" customFormat="1" ht="15" customHeight="1">
      <c r="A1408" s="37">
        <v>43612</v>
      </c>
      <c r="B1408" s="20" t="s">
        <v>71</v>
      </c>
      <c r="C1408" s="20" t="s">
        <v>47</v>
      </c>
      <c r="D1408" s="20">
        <v>285</v>
      </c>
      <c r="E1408" s="38">
        <v>1500</v>
      </c>
      <c r="F1408" s="20" t="s">
        <v>8</v>
      </c>
      <c r="G1408" s="43">
        <v>6.35</v>
      </c>
      <c r="H1408" s="43">
        <v>7.35</v>
      </c>
      <c r="I1408" s="43">
        <v>0</v>
      </c>
      <c r="J1408" s="43">
        <v>0</v>
      </c>
      <c r="K1408" s="1">
        <f t="shared" si="2285"/>
        <v>1500</v>
      </c>
      <c r="L1408" s="43">
        <v>0</v>
      </c>
      <c r="M1408" s="43">
        <v>0</v>
      </c>
      <c r="N1408" s="1">
        <f t="shared" si="2271"/>
        <v>1</v>
      </c>
      <c r="O1408" s="1">
        <f t="shared" si="2275"/>
        <v>1500</v>
      </c>
      <c r="P1408" s="31"/>
      <c r="Q1408" s="31"/>
      <c r="R1408" s="31"/>
      <c r="S1408" s="31"/>
      <c r="T1408" s="31"/>
      <c r="U1408" s="31"/>
      <c r="V1408" s="31"/>
      <c r="W1408" s="31"/>
      <c r="X1408" s="31"/>
      <c r="Y1408" s="31"/>
      <c r="Z1408" s="31"/>
      <c r="AA1408" s="31"/>
      <c r="AB1408" s="31"/>
      <c r="AC1408" s="31"/>
      <c r="AD1408" s="31"/>
      <c r="AE1408" s="31"/>
      <c r="AF1408" s="31"/>
      <c r="AG1408" s="31"/>
    </row>
    <row r="1409" spans="1:33" s="32" customFormat="1" ht="15" customHeight="1">
      <c r="A1409" s="37">
        <v>43612</v>
      </c>
      <c r="B1409" s="20" t="s">
        <v>65</v>
      </c>
      <c r="C1409" s="20" t="s">
        <v>47</v>
      </c>
      <c r="D1409" s="20">
        <v>700</v>
      </c>
      <c r="E1409" s="38">
        <v>1400</v>
      </c>
      <c r="F1409" s="20" t="s">
        <v>8</v>
      </c>
      <c r="G1409" s="43">
        <v>15</v>
      </c>
      <c r="H1409" s="43">
        <v>10</v>
      </c>
      <c r="I1409" s="43">
        <v>0</v>
      </c>
      <c r="J1409" s="43">
        <v>0</v>
      </c>
      <c r="K1409" s="1">
        <f t="shared" si="2285"/>
        <v>-7000</v>
      </c>
      <c r="L1409" s="43">
        <v>0</v>
      </c>
      <c r="M1409" s="43">
        <v>0</v>
      </c>
      <c r="N1409" s="1">
        <f t="shared" si="2271"/>
        <v>-5</v>
      </c>
      <c r="O1409" s="1">
        <f t="shared" si="2275"/>
        <v>-7000</v>
      </c>
      <c r="P1409" s="31"/>
      <c r="Q1409" s="31"/>
      <c r="R1409" s="31"/>
      <c r="S1409" s="31"/>
      <c r="T1409" s="31"/>
      <c r="U1409" s="31"/>
      <c r="V1409" s="31"/>
      <c r="W1409" s="31"/>
      <c r="X1409" s="31"/>
      <c r="Y1409" s="31"/>
      <c r="Z1409" s="31"/>
      <c r="AA1409" s="31"/>
      <c r="AB1409" s="31"/>
      <c r="AC1409" s="31"/>
      <c r="AD1409" s="31"/>
      <c r="AE1409" s="31"/>
      <c r="AF1409" s="31"/>
      <c r="AG1409" s="31"/>
    </row>
    <row r="1410" spans="1:33" s="32" customFormat="1" ht="15" customHeight="1">
      <c r="A1410" s="37">
        <v>43609</v>
      </c>
      <c r="B1410" s="20" t="s">
        <v>22</v>
      </c>
      <c r="C1410" s="20" t="s">
        <v>47</v>
      </c>
      <c r="D1410" s="20">
        <v>185</v>
      </c>
      <c r="E1410" s="38">
        <v>2600</v>
      </c>
      <c r="F1410" s="20" t="s">
        <v>8</v>
      </c>
      <c r="G1410" s="43">
        <v>5.25</v>
      </c>
      <c r="H1410" s="43">
        <v>6.25</v>
      </c>
      <c r="I1410" s="43">
        <v>8</v>
      </c>
      <c r="J1410" s="43">
        <v>0</v>
      </c>
      <c r="K1410" s="1">
        <f>(IF(F1410="SELL",G1410-H1410,IF(F1410="BUY",H1410-G1410)))*E1410</f>
        <v>2600</v>
      </c>
      <c r="L1410" s="43">
        <f>E1410*1.75</f>
        <v>4550</v>
      </c>
      <c r="M1410" s="43">
        <v>0</v>
      </c>
      <c r="N1410" s="1">
        <f t="shared" si="2271"/>
        <v>2.75</v>
      </c>
      <c r="O1410" s="1">
        <f t="shared" si="2275"/>
        <v>7150</v>
      </c>
      <c r="P1410" s="31"/>
      <c r="Q1410" s="31"/>
      <c r="R1410" s="31"/>
      <c r="S1410" s="31"/>
      <c r="T1410" s="31"/>
      <c r="U1410" s="31"/>
      <c r="V1410" s="31"/>
      <c r="W1410" s="31"/>
      <c r="X1410" s="31"/>
      <c r="Y1410" s="31"/>
      <c r="Z1410" s="31"/>
      <c r="AA1410" s="31"/>
      <c r="AB1410" s="31"/>
      <c r="AC1410" s="31"/>
      <c r="AD1410" s="31"/>
      <c r="AE1410" s="31"/>
      <c r="AF1410" s="31"/>
      <c r="AG1410" s="31"/>
    </row>
    <row r="1411" spans="1:33" s="32" customFormat="1" ht="15" customHeight="1">
      <c r="A1411" s="37">
        <v>43609</v>
      </c>
      <c r="B1411" s="20" t="s">
        <v>21</v>
      </c>
      <c r="C1411" s="20" t="s">
        <v>47</v>
      </c>
      <c r="D1411" s="20">
        <v>340</v>
      </c>
      <c r="E1411" s="38">
        <v>3000</v>
      </c>
      <c r="F1411" s="20" t="s">
        <v>8</v>
      </c>
      <c r="G1411" s="43">
        <v>10.3</v>
      </c>
      <c r="H1411" s="43">
        <v>10.8</v>
      </c>
      <c r="I1411" s="43">
        <v>12</v>
      </c>
      <c r="J1411" s="43">
        <v>0</v>
      </c>
      <c r="K1411" s="1">
        <f t="shared" ref="K1411:K1414" si="2286">(IF(F1411="SELL",G1411-H1411,IF(F1411="BUY",H1411-G1411)))*E1411</f>
        <v>1500</v>
      </c>
      <c r="L1411" s="43">
        <f>E1411*1.2</f>
        <v>3600</v>
      </c>
      <c r="M1411" s="43">
        <v>0</v>
      </c>
      <c r="N1411" s="1">
        <f t="shared" si="2271"/>
        <v>1.7</v>
      </c>
      <c r="O1411" s="1">
        <f t="shared" si="2275"/>
        <v>5100</v>
      </c>
      <c r="P1411" s="31"/>
      <c r="Q1411" s="31"/>
      <c r="R1411" s="31"/>
      <c r="S1411" s="31"/>
      <c r="T1411" s="31"/>
      <c r="U1411" s="31"/>
      <c r="V1411" s="31"/>
      <c r="W1411" s="31"/>
      <c r="X1411" s="31"/>
      <c r="Y1411" s="31"/>
      <c r="Z1411" s="31"/>
      <c r="AA1411" s="31"/>
      <c r="AB1411" s="31"/>
      <c r="AC1411" s="31"/>
      <c r="AD1411" s="31"/>
      <c r="AE1411" s="31"/>
      <c r="AF1411" s="31"/>
      <c r="AG1411" s="31"/>
    </row>
    <row r="1412" spans="1:33" s="32" customFormat="1" ht="15" customHeight="1">
      <c r="A1412" s="37">
        <v>43609</v>
      </c>
      <c r="B1412" s="20" t="s">
        <v>73</v>
      </c>
      <c r="C1412" s="20" t="s">
        <v>47</v>
      </c>
      <c r="D1412" s="20">
        <v>1520</v>
      </c>
      <c r="E1412" s="38">
        <v>375</v>
      </c>
      <c r="F1412" s="20" t="s">
        <v>8</v>
      </c>
      <c r="G1412" s="43">
        <v>24</v>
      </c>
      <c r="H1412" s="43">
        <v>29</v>
      </c>
      <c r="I1412" s="43">
        <v>36.950000000000003</v>
      </c>
      <c r="J1412" s="43">
        <v>0</v>
      </c>
      <c r="K1412" s="1">
        <f t="shared" si="2286"/>
        <v>1875</v>
      </c>
      <c r="L1412" s="43">
        <f>E1412*7.95</f>
        <v>2981.25</v>
      </c>
      <c r="M1412" s="43">
        <v>0</v>
      </c>
      <c r="N1412" s="1">
        <f t="shared" si="2271"/>
        <v>12.95</v>
      </c>
      <c r="O1412" s="1">
        <f t="shared" si="2275"/>
        <v>4856.25</v>
      </c>
      <c r="P1412" s="31"/>
      <c r="Q1412" s="31"/>
      <c r="R1412" s="31"/>
      <c r="S1412" s="31"/>
      <c r="T1412" s="31"/>
      <c r="U1412" s="31"/>
      <c r="V1412" s="31"/>
      <c r="W1412" s="31"/>
      <c r="X1412" s="31"/>
      <c r="Y1412" s="31"/>
      <c r="Z1412" s="31"/>
      <c r="AA1412" s="31"/>
      <c r="AB1412" s="31"/>
      <c r="AC1412" s="31"/>
      <c r="AD1412" s="31"/>
      <c r="AE1412" s="31"/>
      <c r="AF1412" s="31"/>
      <c r="AG1412" s="31"/>
    </row>
    <row r="1413" spans="1:33" s="32" customFormat="1" ht="15" customHeight="1">
      <c r="A1413" s="37">
        <v>43609</v>
      </c>
      <c r="B1413" s="20" t="s">
        <v>98</v>
      </c>
      <c r="C1413" s="20" t="s">
        <v>47</v>
      </c>
      <c r="D1413" s="20">
        <v>520</v>
      </c>
      <c r="E1413" s="38">
        <v>900</v>
      </c>
      <c r="F1413" s="20" t="s">
        <v>8</v>
      </c>
      <c r="G1413" s="43">
        <v>12</v>
      </c>
      <c r="H1413" s="43">
        <v>15</v>
      </c>
      <c r="I1413" s="43">
        <v>18</v>
      </c>
      <c r="J1413" s="43">
        <v>0</v>
      </c>
      <c r="K1413" s="1">
        <f t="shared" si="2286"/>
        <v>2700</v>
      </c>
      <c r="L1413" s="43">
        <f>E1413*3</f>
        <v>2700</v>
      </c>
      <c r="M1413" s="43">
        <v>0</v>
      </c>
      <c r="N1413" s="1">
        <f t="shared" si="2271"/>
        <v>6</v>
      </c>
      <c r="O1413" s="1">
        <f t="shared" si="2275"/>
        <v>5400</v>
      </c>
      <c r="P1413" s="31"/>
      <c r="Q1413" s="31"/>
      <c r="R1413" s="31"/>
      <c r="S1413" s="31"/>
      <c r="T1413" s="31"/>
      <c r="U1413" s="31"/>
      <c r="V1413" s="31"/>
      <c r="W1413" s="31"/>
      <c r="X1413" s="31"/>
      <c r="Y1413" s="31"/>
      <c r="Z1413" s="31"/>
      <c r="AA1413" s="31"/>
      <c r="AB1413" s="31"/>
      <c r="AC1413" s="31"/>
      <c r="AD1413" s="31"/>
      <c r="AE1413" s="31"/>
      <c r="AF1413" s="31"/>
      <c r="AG1413" s="31"/>
    </row>
    <row r="1414" spans="1:33" s="32" customFormat="1" ht="15" customHeight="1">
      <c r="A1414" s="37">
        <v>43609</v>
      </c>
      <c r="B1414" s="20" t="s">
        <v>72</v>
      </c>
      <c r="C1414" s="20" t="s">
        <v>47</v>
      </c>
      <c r="D1414" s="20">
        <v>390</v>
      </c>
      <c r="E1414" s="38">
        <v>1800</v>
      </c>
      <c r="F1414" s="20" t="s">
        <v>8</v>
      </c>
      <c r="G1414" s="43">
        <v>13.5</v>
      </c>
      <c r="H1414" s="43">
        <v>9.6</v>
      </c>
      <c r="I1414" s="43">
        <v>0</v>
      </c>
      <c r="J1414" s="43">
        <v>0</v>
      </c>
      <c r="K1414" s="1">
        <f t="shared" si="2286"/>
        <v>-7020.0000000000009</v>
      </c>
      <c r="L1414" s="43">
        <v>0</v>
      </c>
      <c r="M1414" s="43">
        <v>0</v>
      </c>
      <c r="N1414" s="1">
        <f t="shared" si="2271"/>
        <v>-3.9000000000000004</v>
      </c>
      <c r="O1414" s="1">
        <f t="shared" si="2275"/>
        <v>-7020.0000000000009</v>
      </c>
      <c r="P1414" s="31"/>
      <c r="Q1414" s="31"/>
      <c r="R1414" s="31"/>
      <c r="S1414" s="31"/>
      <c r="T1414" s="31"/>
      <c r="U1414" s="31"/>
      <c r="V1414" s="31"/>
      <c r="W1414" s="31"/>
      <c r="X1414" s="31"/>
      <c r="Y1414" s="31"/>
      <c r="Z1414" s="31"/>
      <c r="AA1414" s="31"/>
      <c r="AB1414" s="31"/>
      <c r="AC1414" s="31"/>
      <c r="AD1414" s="31"/>
      <c r="AE1414" s="31"/>
      <c r="AF1414" s="31"/>
      <c r="AG1414" s="31"/>
    </row>
    <row r="1415" spans="1:33" s="32" customFormat="1" ht="15" customHeight="1">
      <c r="A1415" s="37">
        <v>43608</v>
      </c>
      <c r="B1415" s="20" t="s">
        <v>73</v>
      </c>
      <c r="C1415" s="20" t="s">
        <v>47</v>
      </c>
      <c r="D1415" s="20">
        <v>1520</v>
      </c>
      <c r="E1415" s="38">
        <v>375</v>
      </c>
      <c r="F1415" s="20" t="s">
        <v>8</v>
      </c>
      <c r="G1415" s="43">
        <v>28</v>
      </c>
      <c r="H1415" s="43">
        <v>33</v>
      </c>
      <c r="I1415" s="43">
        <v>43</v>
      </c>
      <c r="J1415" s="43">
        <v>0</v>
      </c>
      <c r="K1415" s="1">
        <f t="shared" ref="K1415:K1418" si="2287">(IF(F1415="SELL",G1415-H1415,IF(F1415="BUY",H1415-G1415)))*E1415</f>
        <v>1875</v>
      </c>
      <c r="L1415" s="43">
        <f>E1415*10</f>
        <v>3750</v>
      </c>
      <c r="M1415" s="43">
        <v>0</v>
      </c>
      <c r="N1415" s="1">
        <f t="shared" si="2271"/>
        <v>15</v>
      </c>
      <c r="O1415" s="1">
        <f t="shared" si="2275"/>
        <v>5625</v>
      </c>
      <c r="P1415" s="31"/>
      <c r="Q1415" s="31"/>
      <c r="R1415" s="31"/>
      <c r="S1415" s="31"/>
      <c r="T1415" s="31"/>
      <c r="U1415" s="31"/>
      <c r="V1415" s="31"/>
      <c r="W1415" s="31"/>
      <c r="X1415" s="31"/>
      <c r="Y1415" s="31"/>
      <c r="Z1415" s="31"/>
      <c r="AA1415" s="31"/>
      <c r="AB1415" s="31"/>
      <c r="AC1415" s="31"/>
      <c r="AD1415" s="31"/>
      <c r="AE1415" s="31"/>
      <c r="AF1415" s="31"/>
      <c r="AG1415" s="31"/>
    </row>
    <row r="1416" spans="1:33" s="32" customFormat="1" ht="15" customHeight="1">
      <c r="A1416" s="37">
        <v>43608</v>
      </c>
      <c r="B1416" s="20" t="s">
        <v>17</v>
      </c>
      <c r="C1416" s="20" t="s">
        <v>47</v>
      </c>
      <c r="D1416" s="20">
        <v>780</v>
      </c>
      <c r="E1416" s="38">
        <v>1200</v>
      </c>
      <c r="F1416" s="20" t="s">
        <v>8</v>
      </c>
      <c r="G1416" s="43">
        <v>25.5</v>
      </c>
      <c r="H1416" s="43">
        <v>27</v>
      </c>
      <c r="I1416" s="43">
        <v>0</v>
      </c>
      <c r="J1416" s="43">
        <v>0</v>
      </c>
      <c r="K1416" s="1">
        <f t="shared" si="2287"/>
        <v>1800</v>
      </c>
      <c r="L1416" s="43">
        <v>0</v>
      </c>
      <c r="M1416" s="43">
        <v>0</v>
      </c>
      <c r="N1416" s="1">
        <f t="shared" si="2271"/>
        <v>1.5</v>
      </c>
      <c r="O1416" s="1">
        <f t="shared" si="2275"/>
        <v>1800</v>
      </c>
      <c r="P1416" s="31"/>
      <c r="Q1416" s="31"/>
      <c r="R1416" s="31"/>
      <c r="S1416" s="31"/>
      <c r="T1416" s="31"/>
      <c r="U1416" s="31"/>
      <c r="V1416" s="31"/>
      <c r="W1416" s="31"/>
      <c r="X1416" s="31"/>
      <c r="Y1416" s="31"/>
      <c r="Z1416" s="31"/>
      <c r="AA1416" s="31"/>
      <c r="AB1416" s="31"/>
      <c r="AC1416" s="31"/>
      <c r="AD1416" s="31"/>
      <c r="AE1416" s="31"/>
      <c r="AF1416" s="31"/>
      <c r="AG1416" s="31"/>
    </row>
    <row r="1417" spans="1:33" s="32" customFormat="1" ht="15" customHeight="1">
      <c r="A1417" s="37">
        <v>43608</v>
      </c>
      <c r="B1417" s="20" t="s">
        <v>21</v>
      </c>
      <c r="C1417" s="20" t="s">
        <v>47</v>
      </c>
      <c r="D1417" s="20">
        <v>360</v>
      </c>
      <c r="E1417" s="38">
        <v>3000</v>
      </c>
      <c r="F1417" s="20" t="s">
        <v>8</v>
      </c>
      <c r="G1417" s="43">
        <v>9.3000000000000007</v>
      </c>
      <c r="H1417" s="43">
        <v>10</v>
      </c>
      <c r="I1417" s="43">
        <v>0</v>
      </c>
      <c r="J1417" s="43">
        <v>0</v>
      </c>
      <c r="K1417" s="1">
        <f t="shared" si="2287"/>
        <v>2099.9999999999977</v>
      </c>
      <c r="L1417" s="43">
        <v>0</v>
      </c>
      <c r="M1417" s="43">
        <v>0</v>
      </c>
      <c r="N1417" s="1">
        <f t="shared" si="2271"/>
        <v>0.69999999999999929</v>
      </c>
      <c r="O1417" s="1">
        <f t="shared" si="2275"/>
        <v>2099.9999999999977</v>
      </c>
      <c r="P1417" s="31"/>
      <c r="Q1417" s="31"/>
      <c r="R1417" s="31"/>
      <c r="S1417" s="31"/>
      <c r="T1417" s="31"/>
      <c r="U1417" s="31"/>
      <c r="V1417" s="31"/>
      <c r="W1417" s="31"/>
      <c r="X1417" s="31"/>
      <c r="Y1417" s="31"/>
      <c r="Z1417" s="31"/>
      <c r="AA1417" s="31"/>
      <c r="AB1417" s="31"/>
      <c r="AC1417" s="31"/>
      <c r="AD1417" s="31"/>
      <c r="AE1417" s="31"/>
      <c r="AF1417" s="31"/>
      <c r="AG1417" s="31"/>
    </row>
    <row r="1418" spans="1:33" s="32" customFormat="1" ht="15" customHeight="1">
      <c r="A1418" s="37">
        <v>43608</v>
      </c>
      <c r="B1418" s="20" t="s">
        <v>21</v>
      </c>
      <c r="C1418" s="20" t="s">
        <v>47</v>
      </c>
      <c r="D1418" s="20">
        <v>355</v>
      </c>
      <c r="E1418" s="38">
        <v>3000</v>
      </c>
      <c r="F1418" s="20" t="s">
        <v>8</v>
      </c>
      <c r="G1418" s="43">
        <v>12</v>
      </c>
      <c r="H1418" s="43">
        <v>9</v>
      </c>
      <c r="I1418" s="43">
        <v>0</v>
      </c>
      <c r="J1418" s="43">
        <v>0</v>
      </c>
      <c r="K1418" s="1">
        <f t="shared" si="2287"/>
        <v>-9000</v>
      </c>
      <c r="L1418" s="43">
        <v>0</v>
      </c>
      <c r="M1418" s="43">
        <v>0</v>
      </c>
      <c r="N1418" s="1">
        <f t="shared" si="2271"/>
        <v>-3</v>
      </c>
      <c r="O1418" s="1">
        <f t="shared" si="2275"/>
        <v>-9000</v>
      </c>
      <c r="P1418" s="31"/>
      <c r="Q1418" s="31"/>
      <c r="R1418" s="31"/>
      <c r="S1418" s="31"/>
      <c r="T1418" s="31"/>
      <c r="U1418" s="31"/>
      <c r="V1418" s="31"/>
      <c r="W1418" s="31"/>
      <c r="X1418" s="31"/>
      <c r="Y1418" s="31"/>
      <c r="Z1418" s="31"/>
      <c r="AA1418" s="31"/>
      <c r="AB1418" s="31"/>
      <c r="AC1418" s="31"/>
      <c r="AD1418" s="31"/>
      <c r="AE1418" s="31"/>
      <c r="AF1418" s="31"/>
      <c r="AG1418" s="31"/>
    </row>
    <row r="1419" spans="1:33" s="32" customFormat="1" ht="15" customHeight="1">
      <c r="A1419" s="37">
        <v>43607</v>
      </c>
      <c r="B1419" s="20" t="s">
        <v>73</v>
      </c>
      <c r="C1419" s="20" t="s">
        <v>47</v>
      </c>
      <c r="D1419" s="20">
        <v>1460</v>
      </c>
      <c r="E1419" s="38">
        <v>375</v>
      </c>
      <c r="F1419" s="20" t="s">
        <v>8</v>
      </c>
      <c r="G1419" s="43">
        <v>35</v>
      </c>
      <c r="H1419" s="43">
        <v>40</v>
      </c>
      <c r="I1419" s="43">
        <v>50</v>
      </c>
      <c r="J1419" s="43">
        <v>0</v>
      </c>
      <c r="K1419" s="1">
        <f t="shared" ref="K1419:K1421" si="2288">(IF(F1419="SELL",G1419-H1419,IF(F1419="BUY",H1419-G1419)))*E1419</f>
        <v>1875</v>
      </c>
      <c r="L1419" s="43">
        <f>E1419*10</f>
        <v>3750</v>
      </c>
      <c r="M1419" s="43">
        <v>0</v>
      </c>
      <c r="N1419" s="1">
        <f t="shared" si="2271"/>
        <v>15</v>
      </c>
      <c r="O1419" s="1">
        <f t="shared" si="2275"/>
        <v>5625</v>
      </c>
      <c r="P1419" s="31"/>
      <c r="Q1419" s="31"/>
      <c r="R1419" s="31"/>
      <c r="S1419" s="31"/>
      <c r="T1419" s="31"/>
      <c r="U1419" s="31"/>
      <c r="V1419" s="31"/>
      <c r="W1419" s="31"/>
      <c r="X1419" s="31"/>
      <c r="Y1419" s="31"/>
      <c r="Z1419" s="31"/>
      <c r="AA1419" s="31"/>
      <c r="AB1419" s="31"/>
      <c r="AC1419" s="31"/>
      <c r="AD1419" s="31"/>
      <c r="AE1419" s="31"/>
      <c r="AF1419" s="31"/>
      <c r="AG1419" s="31"/>
    </row>
    <row r="1420" spans="1:33" s="32" customFormat="1" ht="15" customHeight="1">
      <c r="A1420" s="37">
        <v>43607</v>
      </c>
      <c r="B1420" s="20" t="s">
        <v>80</v>
      </c>
      <c r="C1420" s="20" t="s">
        <v>47</v>
      </c>
      <c r="D1420" s="20">
        <v>360</v>
      </c>
      <c r="E1420" s="38">
        <v>1500</v>
      </c>
      <c r="F1420" s="20" t="s">
        <v>8</v>
      </c>
      <c r="G1420" s="43">
        <v>9.5</v>
      </c>
      <c r="H1420" s="43">
        <v>10.8</v>
      </c>
      <c r="I1420" s="43">
        <v>0</v>
      </c>
      <c r="J1420" s="43">
        <v>0</v>
      </c>
      <c r="K1420" s="1">
        <f t="shared" si="2288"/>
        <v>1950.0000000000011</v>
      </c>
      <c r="L1420" s="43">
        <v>0</v>
      </c>
      <c r="M1420" s="43">
        <v>0</v>
      </c>
      <c r="N1420" s="1">
        <f t="shared" si="2271"/>
        <v>1.3000000000000007</v>
      </c>
      <c r="O1420" s="1">
        <f t="shared" si="2275"/>
        <v>1950.0000000000011</v>
      </c>
      <c r="P1420" s="31"/>
      <c r="Q1420" s="31"/>
      <c r="R1420" s="31"/>
      <c r="S1420" s="31"/>
      <c r="T1420" s="31"/>
      <c r="U1420" s="31"/>
      <c r="V1420" s="31"/>
      <c r="W1420" s="31"/>
      <c r="X1420" s="31"/>
      <c r="Y1420" s="31"/>
      <c r="Z1420" s="31"/>
      <c r="AA1420" s="31"/>
      <c r="AB1420" s="31"/>
      <c r="AC1420" s="31"/>
      <c r="AD1420" s="31"/>
      <c r="AE1420" s="31"/>
      <c r="AF1420" s="31"/>
      <c r="AG1420" s="31"/>
    </row>
    <row r="1421" spans="1:33" s="32" customFormat="1" ht="15" customHeight="1">
      <c r="A1421" s="37">
        <v>43607</v>
      </c>
      <c r="B1421" s="20" t="s">
        <v>174</v>
      </c>
      <c r="C1421" s="20" t="s">
        <v>47</v>
      </c>
      <c r="D1421" s="20">
        <v>260</v>
      </c>
      <c r="E1421" s="38">
        <v>2000</v>
      </c>
      <c r="F1421" s="20" t="s">
        <v>8</v>
      </c>
      <c r="G1421" s="43">
        <v>14.5</v>
      </c>
      <c r="H1421" s="43">
        <v>15.3</v>
      </c>
      <c r="I1421" s="43">
        <v>17</v>
      </c>
      <c r="J1421" s="43">
        <v>0</v>
      </c>
      <c r="K1421" s="1">
        <f t="shared" si="2288"/>
        <v>1600.0000000000014</v>
      </c>
      <c r="L1421" s="43">
        <f>E1421*1.7</f>
        <v>3400</v>
      </c>
      <c r="M1421" s="43">
        <v>0</v>
      </c>
      <c r="N1421" s="1">
        <f t="shared" si="2271"/>
        <v>2.5000000000000009</v>
      </c>
      <c r="O1421" s="1">
        <f t="shared" si="2275"/>
        <v>5000.0000000000018</v>
      </c>
      <c r="P1421" s="31"/>
      <c r="Q1421" s="31"/>
      <c r="R1421" s="31"/>
      <c r="S1421" s="31"/>
      <c r="T1421" s="31"/>
      <c r="U1421" s="31"/>
      <c r="V1421" s="31"/>
      <c r="W1421" s="31"/>
      <c r="X1421" s="31"/>
      <c r="Y1421" s="31"/>
      <c r="Z1421" s="31"/>
      <c r="AA1421" s="31"/>
      <c r="AB1421" s="31"/>
      <c r="AC1421" s="31"/>
      <c r="AD1421" s="31"/>
      <c r="AE1421" s="31"/>
      <c r="AF1421" s="31"/>
      <c r="AG1421" s="31"/>
    </row>
    <row r="1422" spans="1:33" s="32" customFormat="1" ht="15" customHeight="1">
      <c r="A1422" s="37">
        <v>43606</v>
      </c>
      <c r="B1422" s="20" t="s">
        <v>65</v>
      </c>
      <c r="C1422" s="20" t="s">
        <v>47</v>
      </c>
      <c r="D1422" s="20">
        <v>680</v>
      </c>
      <c r="E1422" s="38">
        <v>1400</v>
      </c>
      <c r="F1422" s="20" t="s">
        <v>8</v>
      </c>
      <c r="G1422" s="43">
        <v>33</v>
      </c>
      <c r="H1422" s="43">
        <v>35</v>
      </c>
      <c r="I1422" s="43">
        <v>38</v>
      </c>
      <c r="J1422" s="43">
        <v>0</v>
      </c>
      <c r="K1422" s="1">
        <f t="shared" ref="K1422:K1426" si="2289">(IF(F1422="SELL",G1422-H1422,IF(F1422="BUY",H1422-G1422)))*E1422</f>
        <v>2800</v>
      </c>
      <c r="L1422" s="43">
        <f>E1422*3</f>
        <v>4200</v>
      </c>
      <c r="M1422" s="43">
        <v>0</v>
      </c>
      <c r="N1422" s="1">
        <f t="shared" si="2271"/>
        <v>5</v>
      </c>
      <c r="O1422" s="1">
        <f t="shared" si="2275"/>
        <v>7000</v>
      </c>
      <c r="P1422" s="31"/>
      <c r="Q1422" s="31"/>
      <c r="R1422" s="31"/>
      <c r="S1422" s="31"/>
      <c r="T1422" s="31"/>
      <c r="U1422" s="31"/>
      <c r="V1422" s="31"/>
      <c r="W1422" s="31"/>
      <c r="X1422" s="31"/>
      <c r="Y1422" s="31"/>
      <c r="Z1422" s="31"/>
      <c r="AA1422" s="31"/>
      <c r="AB1422" s="31"/>
      <c r="AC1422" s="31"/>
      <c r="AD1422" s="31"/>
      <c r="AE1422" s="31"/>
      <c r="AF1422" s="31"/>
      <c r="AG1422" s="31"/>
    </row>
    <row r="1423" spans="1:33" s="32" customFormat="1" ht="15" customHeight="1">
      <c r="A1423" s="37">
        <v>43606</v>
      </c>
      <c r="B1423" s="20" t="s">
        <v>399</v>
      </c>
      <c r="C1423" s="20" t="s">
        <v>47</v>
      </c>
      <c r="D1423" s="20">
        <v>235</v>
      </c>
      <c r="E1423" s="38">
        <v>2250</v>
      </c>
      <c r="F1423" s="20" t="s">
        <v>8</v>
      </c>
      <c r="G1423" s="43">
        <v>8</v>
      </c>
      <c r="H1423" s="43">
        <v>9.1</v>
      </c>
      <c r="I1423" s="43">
        <v>0</v>
      </c>
      <c r="J1423" s="43">
        <v>0</v>
      </c>
      <c r="K1423" s="1">
        <f t="shared" si="2289"/>
        <v>2474.9999999999991</v>
      </c>
      <c r="L1423" s="43">
        <v>0</v>
      </c>
      <c r="M1423" s="43">
        <v>0</v>
      </c>
      <c r="N1423" s="1">
        <f t="shared" si="2271"/>
        <v>1.0999999999999996</v>
      </c>
      <c r="O1423" s="1">
        <f t="shared" si="2275"/>
        <v>2474.9999999999991</v>
      </c>
      <c r="P1423" s="31"/>
      <c r="Q1423" s="31"/>
      <c r="R1423" s="31"/>
      <c r="S1423" s="31"/>
      <c r="T1423" s="31"/>
      <c r="U1423" s="31"/>
      <c r="V1423" s="31"/>
      <c r="W1423" s="31"/>
      <c r="X1423" s="31"/>
      <c r="Y1423" s="31"/>
      <c r="Z1423" s="31"/>
      <c r="AA1423" s="31"/>
      <c r="AB1423" s="31"/>
      <c r="AC1423" s="31"/>
      <c r="AD1423" s="31"/>
      <c r="AE1423" s="31"/>
      <c r="AF1423" s="31"/>
      <c r="AG1423" s="31"/>
    </row>
    <row r="1424" spans="1:33" s="32" customFormat="1" ht="15" customHeight="1">
      <c r="A1424" s="37">
        <v>43606</v>
      </c>
      <c r="B1424" s="20" t="s">
        <v>413</v>
      </c>
      <c r="C1424" s="20" t="s">
        <v>47</v>
      </c>
      <c r="D1424" s="20">
        <v>840</v>
      </c>
      <c r="E1424" s="38">
        <v>500</v>
      </c>
      <c r="F1424" s="20" t="s">
        <v>8</v>
      </c>
      <c r="G1424" s="43">
        <v>44</v>
      </c>
      <c r="H1424" s="43">
        <v>36</v>
      </c>
      <c r="I1424" s="43">
        <v>0</v>
      </c>
      <c r="J1424" s="43">
        <v>0</v>
      </c>
      <c r="K1424" s="1">
        <f t="shared" si="2289"/>
        <v>-4000</v>
      </c>
      <c r="L1424" s="43">
        <v>0</v>
      </c>
      <c r="M1424" s="43">
        <v>0</v>
      </c>
      <c r="N1424" s="1">
        <f t="shared" si="2271"/>
        <v>-8</v>
      </c>
      <c r="O1424" s="1">
        <f t="shared" si="2275"/>
        <v>-4000</v>
      </c>
      <c r="P1424" s="31"/>
      <c r="Q1424" s="31"/>
      <c r="R1424" s="31"/>
      <c r="S1424" s="31"/>
      <c r="T1424" s="31"/>
      <c r="U1424" s="31"/>
      <c r="V1424" s="31"/>
      <c r="W1424" s="31"/>
      <c r="X1424" s="31"/>
      <c r="Y1424" s="31"/>
      <c r="Z1424" s="31"/>
      <c r="AA1424" s="31"/>
      <c r="AB1424" s="31"/>
      <c r="AC1424" s="31"/>
      <c r="AD1424" s="31"/>
      <c r="AE1424" s="31"/>
      <c r="AF1424" s="31"/>
      <c r="AG1424" s="31"/>
    </row>
    <row r="1425" spans="1:33" s="32" customFormat="1" ht="15" customHeight="1">
      <c r="A1425" s="37">
        <v>43606</v>
      </c>
      <c r="B1425" s="20" t="s">
        <v>63</v>
      </c>
      <c r="C1425" s="20" t="s">
        <v>47</v>
      </c>
      <c r="D1425" s="20">
        <v>290</v>
      </c>
      <c r="E1425" s="38">
        <v>2100</v>
      </c>
      <c r="F1425" s="20" t="s">
        <v>8</v>
      </c>
      <c r="G1425" s="43">
        <v>10</v>
      </c>
      <c r="H1425" s="43">
        <v>9.1</v>
      </c>
      <c r="I1425" s="43">
        <v>0</v>
      </c>
      <c r="J1425" s="43">
        <v>0</v>
      </c>
      <c r="K1425" s="1">
        <f t="shared" si="2289"/>
        <v>-1890.0000000000007</v>
      </c>
      <c r="L1425" s="43">
        <v>0</v>
      </c>
      <c r="M1425" s="43">
        <v>0</v>
      </c>
      <c r="N1425" s="1">
        <f t="shared" si="2271"/>
        <v>-0.90000000000000036</v>
      </c>
      <c r="O1425" s="1">
        <f t="shared" si="2275"/>
        <v>-1890.0000000000007</v>
      </c>
      <c r="P1425" s="31"/>
      <c r="Q1425" s="31"/>
      <c r="R1425" s="31"/>
      <c r="S1425" s="31"/>
      <c r="T1425" s="31"/>
      <c r="U1425" s="31"/>
      <c r="V1425" s="31"/>
      <c r="W1425" s="31"/>
      <c r="X1425" s="31"/>
      <c r="Y1425" s="31"/>
      <c r="Z1425" s="31"/>
      <c r="AA1425" s="31"/>
      <c r="AB1425" s="31"/>
      <c r="AC1425" s="31"/>
      <c r="AD1425" s="31"/>
      <c r="AE1425" s="31"/>
      <c r="AF1425" s="31"/>
      <c r="AG1425" s="31"/>
    </row>
    <row r="1426" spans="1:33" s="32" customFormat="1" ht="15" customHeight="1">
      <c r="A1426" s="37">
        <v>43606</v>
      </c>
      <c r="B1426" s="20" t="s">
        <v>406</v>
      </c>
      <c r="C1426" s="20" t="s">
        <v>47</v>
      </c>
      <c r="D1426" s="20">
        <v>380</v>
      </c>
      <c r="E1426" s="38">
        <v>1280</v>
      </c>
      <c r="F1426" s="20" t="s">
        <v>8</v>
      </c>
      <c r="G1426" s="43">
        <v>13.1</v>
      </c>
      <c r="H1426" s="43">
        <v>11.7</v>
      </c>
      <c r="I1426" s="43">
        <v>0</v>
      </c>
      <c r="J1426" s="43">
        <v>0</v>
      </c>
      <c r="K1426" s="1">
        <f t="shared" si="2289"/>
        <v>-1792.0000000000005</v>
      </c>
      <c r="L1426" s="43">
        <v>0</v>
      </c>
      <c r="M1426" s="43">
        <v>0</v>
      </c>
      <c r="N1426" s="1">
        <f t="shared" si="2271"/>
        <v>-1.4000000000000004</v>
      </c>
      <c r="O1426" s="1">
        <f t="shared" si="2275"/>
        <v>-1792.0000000000005</v>
      </c>
      <c r="P1426" s="31"/>
      <c r="Q1426" s="31"/>
      <c r="R1426" s="31"/>
      <c r="S1426" s="31"/>
      <c r="T1426" s="31"/>
      <c r="U1426" s="31"/>
      <c r="V1426" s="31"/>
      <c r="W1426" s="31"/>
      <c r="X1426" s="31"/>
      <c r="Y1426" s="31"/>
      <c r="Z1426" s="31"/>
      <c r="AA1426" s="31"/>
      <c r="AB1426" s="31"/>
      <c r="AC1426" s="31"/>
      <c r="AD1426" s="31"/>
      <c r="AE1426" s="31"/>
      <c r="AF1426" s="31"/>
      <c r="AG1426" s="31"/>
    </row>
    <row r="1427" spans="1:33" s="32" customFormat="1" ht="15" customHeight="1">
      <c r="A1427" s="37">
        <v>43605</v>
      </c>
      <c r="B1427" s="20" t="s">
        <v>21</v>
      </c>
      <c r="C1427" s="20" t="s">
        <v>47</v>
      </c>
      <c r="D1427" s="20">
        <v>330</v>
      </c>
      <c r="E1427" s="38">
        <v>3000</v>
      </c>
      <c r="F1427" s="20" t="s">
        <v>8</v>
      </c>
      <c r="G1427" s="43">
        <v>15</v>
      </c>
      <c r="H1427" s="43">
        <v>16</v>
      </c>
      <c r="I1427" s="43">
        <v>17</v>
      </c>
      <c r="J1427" s="43">
        <v>19</v>
      </c>
      <c r="K1427" s="1">
        <f t="shared" ref="K1427:K1429" si="2290">(IF(F1427="SELL",G1427-H1427,IF(F1427="BUY",H1427-G1427)))*E1427</f>
        <v>3000</v>
      </c>
      <c r="L1427" s="43">
        <f>E1427*1</f>
        <v>3000</v>
      </c>
      <c r="M1427" s="43">
        <f>E1427*2</f>
        <v>6000</v>
      </c>
      <c r="N1427" s="1">
        <f t="shared" si="2271"/>
        <v>4</v>
      </c>
      <c r="O1427" s="1">
        <f t="shared" si="2275"/>
        <v>12000</v>
      </c>
      <c r="P1427" s="31"/>
      <c r="Q1427" s="31"/>
      <c r="R1427" s="31"/>
      <c r="S1427" s="31"/>
      <c r="T1427" s="31"/>
      <c r="U1427" s="31"/>
      <c r="V1427" s="31"/>
      <c r="W1427" s="31"/>
      <c r="X1427" s="31"/>
      <c r="Y1427" s="31"/>
      <c r="Z1427" s="31"/>
      <c r="AA1427" s="31"/>
      <c r="AB1427" s="31"/>
      <c r="AC1427" s="31"/>
      <c r="AD1427" s="31"/>
      <c r="AE1427" s="31"/>
      <c r="AF1427" s="31"/>
      <c r="AG1427" s="31"/>
    </row>
    <row r="1428" spans="1:33" s="32" customFormat="1" ht="15" customHeight="1">
      <c r="A1428" s="37">
        <v>43605</v>
      </c>
      <c r="B1428" s="20" t="s">
        <v>35</v>
      </c>
      <c r="C1428" s="20" t="s">
        <v>47</v>
      </c>
      <c r="D1428" s="20">
        <v>520</v>
      </c>
      <c r="E1428" s="38">
        <v>1100</v>
      </c>
      <c r="F1428" s="20" t="s">
        <v>8</v>
      </c>
      <c r="G1428" s="43">
        <v>16</v>
      </c>
      <c r="H1428" s="43">
        <v>18.5</v>
      </c>
      <c r="I1428" s="43">
        <v>20</v>
      </c>
      <c r="J1428" s="43">
        <v>24</v>
      </c>
      <c r="K1428" s="1">
        <f t="shared" si="2290"/>
        <v>2750</v>
      </c>
      <c r="L1428" s="43">
        <f>E1428*1.5</f>
        <v>1650</v>
      </c>
      <c r="M1428" s="43">
        <f>E1428*4</f>
        <v>4400</v>
      </c>
      <c r="N1428" s="1">
        <f t="shared" si="2271"/>
        <v>8</v>
      </c>
      <c r="O1428" s="1">
        <f t="shared" si="2275"/>
        <v>8800</v>
      </c>
      <c r="P1428" s="31"/>
      <c r="Q1428" s="31"/>
      <c r="R1428" s="31"/>
      <c r="S1428" s="31"/>
      <c r="T1428" s="31"/>
      <c r="U1428" s="31"/>
      <c r="V1428" s="31"/>
      <c r="W1428" s="31"/>
      <c r="X1428" s="31"/>
      <c r="Y1428" s="31"/>
      <c r="Z1428" s="31"/>
      <c r="AA1428" s="31"/>
      <c r="AB1428" s="31"/>
      <c r="AC1428" s="31"/>
      <c r="AD1428" s="31"/>
      <c r="AE1428" s="31"/>
      <c r="AF1428" s="31"/>
      <c r="AG1428" s="31"/>
    </row>
    <row r="1429" spans="1:33" s="32" customFormat="1" ht="15" customHeight="1">
      <c r="A1429" s="37">
        <v>43605</v>
      </c>
      <c r="B1429" s="20" t="s">
        <v>410</v>
      </c>
      <c r="C1429" s="20" t="s">
        <v>46</v>
      </c>
      <c r="D1429" s="20">
        <v>1460</v>
      </c>
      <c r="E1429" s="38">
        <v>600</v>
      </c>
      <c r="F1429" s="20" t="s">
        <v>8</v>
      </c>
      <c r="G1429" s="43">
        <v>72</v>
      </c>
      <c r="H1429" s="43">
        <v>65</v>
      </c>
      <c r="I1429" s="43">
        <v>0</v>
      </c>
      <c r="J1429" s="43">
        <v>0</v>
      </c>
      <c r="K1429" s="1">
        <f t="shared" si="2290"/>
        <v>-4200</v>
      </c>
      <c r="L1429" s="43">
        <v>0</v>
      </c>
      <c r="M1429" s="43">
        <v>0</v>
      </c>
      <c r="N1429" s="1">
        <f t="shared" ref="N1429:N1492" si="2291">(L1429+K1429+M1429)/E1429</f>
        <v>-7</v>
      </c>
      <c r="O1429" s="1">
        <f t="shared" si="2275"/>
        <v>-4200</v>
      </c>
      <c r="P1429" s="31"/>
      <c r="Q1429" s="31"/>
      <c r="R1429" s="31"/>
      <c r="S1429" s="31"/>
      <c r="T1429" s="31"/>
      <c r="U1429" s="31"/>
      <c r="V1429" s="31"/>
      <c r="W1429" s="31"/>
      <c r="X1429" s="31"/>
      <c r="Y1429" s="31"/>
      <c r="Z1429" s="31"/>
      <c r="AA1429" s="31"/>
      <c r="AB1429" s="31"/>
      <c r="AC1429" s="31"/>
      <c r="AD1429" s="31"/>
      <c r="AE1429" s="31"/>
      <c r="AF1429" s="31"/>
      <c r="AG1429" s="31"/>
    </row>
    <row r="1430" spans="1:33" s="32" customFormat="1" ht="15" customHeight="1">
      <c r="A1430" s="37">
        <v>43602</v>
      </c>
      <c r="B1430" s="20" t="s">
        <v>65</v>
      </c>
      <c r="C1430" s="20" t="s">
        <v>47</v>
      </c>
      <c r="D1430" s="20">
        <v>600</v>
      </c>
      <c r="E1430" s="38">
        <v>1400</v>
      </c>
      <c r="F1430" s="20" t="s">
        <v>8</v>
      </c>
      <c r="G1430" s="43">
        <v>30</v>
      </c>
      <c r="H1430" s="43">
        <v>31.1</v>
      </c>
      <c r="I1430" s="43">
        <v>33.5</v>
      </c>
      <c r="J1430" s="43">
        <v>0</v>
      </c>
      <c r="K1430" s="1">
        <f t="shared" ref="K1430:K1433" si="2292">(IF(F1430="SELL",G1430-H1430,IF(F1430="BUY",H1430-G1430)))*E1430</f>
        <v>1540.000000000002</v>
      </c>
      <c r="L1430" s="43">
        <f>E1430*2.4</f>
        <v>3360</v>
      </c>
      <c r="M1430" s="43">
        <v>0</v>
      </c>
      <c r="N1430" s="1">
        <f t="shared" si="2291"/>
        <v>3.5000000000000013</v>
      </c>
      <c r="O1430" s="1">
        <f t="shared" si="2275"/>
        <v>4900.0000000000018</v>
      </c>
      <c r="P1430" s="31"/>
      <c r="Q1430" s="31"/>
      <c r="R1430" s="31"/>
      <c r="S1430" s="31"/>
      <c r="T1430" s="31"/>
      <c r="U1430" s="31"/>
      <c r="V1430" s="31"/>
      <c r="W1430" s="31"/>
      <c r="X1430" s="31"/>
      <c r="Y1430" s="31"/>
      <c r="Z1430" s="31"/>
      <c r="AA1430" s="31"/>
      <c r="AB1430" s="31"/>
      <c r="AC1430" s="31"/>
      <c r="AD1430" s="31"/>
      <c r="AE1430" s="31"/>
      <c r="AF1430" s="31"/>
      <c r="AG1430" s="31"/>
    </row>
    <row r="1431" spans="1:33" s="32" customFormat="1" ht="15" customHeight="1">
      <c r="A1431" s="37">
        <v>43602</v>
      </c>
      <c r="B1431" s="20" t="s">
        <v>98</v>
      </c>
      <c r="C1431" s="20" t="s">
        <v>46</v>
      </c>
      <c r="D1431" s="20">
        <v>520</v>
      </c>
      <c r="E1431" s="38">
        <v>900</v>
      </c>
      <c r="F1431" s="20" t="s">
        <v>8</v>
      </c>
      <c r="G1431" s="43">
        <v>18.5</v>
      </c>
      <c r="H1431" s="43">
        <v>21.5</v>
      </c>
      <c r="I1431" s="43">
        <v>0</v>
      </c>
      <c r="J1431" s="43">
        <v>0</v>
      </c>
      <c r="K1431" s="1">
        <f t="shared" si="2292"/>
        <v>2700</v>
      </c>
      <c r="L1431" s="43">
        <v>0</v>
      </c>
      <c r="M1431" s="43">
        <v>0</v>
      </c>
      <c r="N1431" s="1">
        <f t="shared" si="2291"/>
        <v>3</v>
      </c>
      <c r="O1431" s="1">
        <f t="shared" si="2275"/>
        <v>2700</v>
      </c>
      <c r="P1431" s="31"/>
      <c r="Q1431" s="31"/>
      <c r="R1431" s="31"/>
      <c r="S1431" s="31"/>
      <c r="T1431" s="31"/>
      <c r="U1431" s="31"/>
      <c r="V1431" s="31"/>
      <c r="W1431" s="31"/>
      <c r="X1431" s="31"/>
      <c r="Y1431" s="31"/>
      <c r="Z1431" s="31"/>
      <c r="AA1431" s="31"/>
      <c r="AB1431" s="31"/>
      <c r="AC1431" s="31"/>
      <c r="AD1431" s="31"/>
      <c r="AE1431" s="31"/>
      <c r="AF1431" s="31"/>
      <c r="AG1431" s="31"/>
    </row>
    <row r="1432" spans="1:33" s="32" customFormat="1" ht="15" customHeight="1">
      <c r="A1432" s="37">
        <v>43602</v>
      </c>
      <c r="B1432" s="20" t="s">
        <v>413</v>
      </c>
      <c r="C1432" s="20" t="s">
        <v>47</v>
      </c>
      <c r="D1432" s="20">
        <v>720</v>
      </c>
      <c r="E1432" s="38">
        <v>500</v>
      </c>
      <c r="F1432" s="20" t="s">
        <v>8</v>
      </c>
      <c r="G1432" s="43">
        <v>48</v>
      </c>
      <c r="H1432" s="43">
        <v>42</v>
      </c>
      <c r="I1432" s="43">
        <v>0</v>
      </c>
      <c r="J1432" s="43">
        <v>0</v>
      </c>
      <c r="K1432" s="1">
        <f t="shared" si="2292"/>
        <v>-3000</v>
      </c>
      <c r="L1432" s="43">
        <v>0</v>
      </c>
      <c r="M1432" s="43">
        <v>0</v>
      </c>
      <c r="N1432" s="1">
        <f t="shared" si="2291"/>
        <v>-6</v>
      </c>
      <c r="O1432" s="1">
        <f t="shared" si="2275"/>
        <v>-3000</v>
      </c>
      <c r="P1432" s="31"/>
      <c r="Q1432" s="31"/>
      <c r="R1432" s="31"/>
      <c r="S1432" s="31"/>
      <c r="T1432" s="31"/>
      <c r="U1432" s="31"/>
      <c r="V1432" s="31"/>
      <c r="W1432" s="31"/>
      <c r="X1432" s="31"/>
      <c r="Y1432" s="31"/>
      <c r="Z1432" s="31"/>
      <c r="AA1432" s="31"/>
      <c r="AB1432" s="31"/>
      <c r="AC1432" s="31"/>
      <c r="AD1432" s="31"/>
      <c r="AE1432" s="31"/>
      <c r="AF1432" s="31"/>
      <c r="AG1432" s="31"/>
    </row>
    <row r="1433" spans="1:33" s="32" customFormat="1" ht="15" customHeight="1">
      <c r="A1433" s="37">
        <v>43602</v>
      </c>
      <c r="B1433" s="20" t="s">
        <v>100</v>
      </c>
      <c r="C1433" s="20" t="s">
        <v>46</v>
      </c>
      <c r="D1433" s="20">
        <v>2800</v>
      </c>
      <c r="E1433" s="38">
        <v>250</v>
      </c>
      <c r="F1433" s="20" t="s">
        <v>8</v>
      </c>
      <c r="G1433" s="43">
        <v>105</v>
      </c>
      <c r="H1433" s="43">
        <v>105</v>
      </c>
      <c r="I1433" s="43">
        <v>0</v>
      </c>
      <c r="J1433" s="43">
        <v>0</v>
      </c>
      <c r="K1433" s="1">
        <f t="shared" si="2292"/>
        <v>0</v>
      </c>
      <c r="L1433" s="43">
        <v>0</v>
      </c>
      <c r="M1433" s="43">
        <v>0</v>
      </c>
      <c r="N1433" s="1">
        <f t="shared" si="2291"/>
        <v>0</v>
      </c>
      <c r="O1433" s="1">
        <f t="shared" si="2275"/>
        <v>0</v>
      </c>
      <c r="P1433" s="31"/>
      <c r="Q1433" s="31"/>
      <c r="R1433" s="31"/>
      <c r="S1433" s="31"/>
      <c r="T1433" s="31"/>
      <c r="U1433" s="31"/>
      <c r="V1433" s="31"/>
      <c r="W1433" s="31"/>
      <c r="X1433" s="31"/>
      <c r="Y1433" s="31"/>
      <c r="Z1433" s="31"/>
      <c r="AA1433" s="31"/>
      <c r="AB1433" s="31"/>
      <c r="AC1433" s="31"/>
      <c r="AD1433" s="31"/>
      <c r="AE1433" s="31"/>
      <c r="AF1433" s="31"/>
      <c r="AG1433" s="31"/>
    </row>
    <row r="1434" spans="1:33" s="32" customFormat="1" ht="15" customHeight="1">
      <c r="A1434" s="37">
        <v>43601</v>
      </c>
      <c r="B1434" s="20" t="s">
        <v>414</v>
      </c>
      <c r="C1434" s="20" t="s">
        <v>46</v>
      </c>
      <c r="D1434" s="20">
        <v>150</v>
      </c>
      <c r="E1434" s="38">
        <v>1750</v>
      </c>
      <c r="F1434" s="20" t="s">
        <v>8</v>
      </c>
      <c r="G1434" s="43">
        <v>16.5</v>
      </c>
      <c r="H1434" s="43">
        <v>17.8</v>
      </c>
      <c r="I1434" s="43">
        <v>19.8</v>
      </c>
      <c r="J1434" s="43">
        <v>0</v>
      </c>
      <c r="K1434" s="1">
        <f>(IF(F1434="SELL",G1434-H1434,IF(F1434="BUY",H1434-G1434)))*E1434</f>
        <v>2275.0000000000014</v>
      </c>
      <c r="L1434" s="43">
        <f>E1434*2</f>
        <v>3500</v>
      </c>
      <c r="M1434" s="43">
        <v>0</v>
      </c>
      <c r="N1434" s="1">
        <f t="shared" si="2291"/>
        <v>3.3000000000000012</v>
      </c>
      <c r="O1434" s="1">
        <f t="shared" si="2275"/>
        <v>5775.0000000000018</v>
      </c>
      <c r="P1434" s="31"/>
      <c r="Q1434" s="31"/>
      <c r="R1434" s="31"/>
      <c r="S1434" s="31"/>
      <c r="T1434" s="31"/>
      <c r="U1434" s="31"/>
      <c r="V1434" s="31"/>
      <c r="W1434" s="31"/>
      <c r="X1434" s="31"/>
      <c r="Y1434" s="31"/>
      <c r="Z1434" s="31"/>
      <c r="AA1434" s="31"/>
      <c r="AB1434" s="31"/>
      <c r="AC1434" s="31"/>
      <c r="AD1434" s="31"/>
      <c r="AE1434" s="31"/>
      <c r="AF1434" s="31"/>
      <c r="AG1434" s="31"/>
    </row>
    <row r="1435" spans="1:33" s="32" customFormat="1" ht="15" customHeight="1">
      <c r="A1435" s="37">
        <v>43601</v>
      </c>
      <c r="B1435" s="20" t="s">
        <v>107</v>
      </c>
      <c r="C1435" s="20" t="s">
        <v>46</v>
      </c>
      <c r="D1435" s="20">
        <v>400</v>
      </c>
      <c r="E1435" s="38">
        <v>1100</v>
      </c>
      <c r="F1435" s="20" t="s">
        <v>8</v>
      </c>
      <c r="G1435" s="43">
        <v>17</v>
      </c>
      <c r="H1435" s="43">
        <v>18.5</v>
      </c>
      <c r="I1435" s="43">
        <v>22</v>
      </c>
      <c r="J1435" s="43">
        <v>0</v>
      </c>
      <c r="K1435" s="1">
        <f t="shared" ref="K1435:K1436" si="2293">(IF(F1435="SELL",G1435-H1435,IF(F1435="BUY",H1435-G1435)))*E1435</f>
        <v>1650</v>
      </c>
      <c r="L1435" s="43">
        <f>E1435*3.5</f>
        <v>3850</v>
      </c>
      <c r="M1435" s="43">
        <v>0</v>
      </c>
      <c r="N1435" s="1">
        <f t="shared" si="2291"/>
        <v>5</v>
      </c>
      <c r="O1435" s="1">
        <f t="shared" si="2275"/>
        <v>5500</v>
      </c>
      <c r="P1435" s="31"/>
      <c r="Q1435" s="31"/>
      <c r="R1435" s="31"/>
      <c r="S1435" s="31"/>
      <c r="T1435" s="31"/>
      <c r="U1435" s="31"/>
      <c r="V1435" s="31"/>
      <c r="W1435" s="31"/>
      <c r="X1435" s="31"/>
      <c r="Y1435" s="31"/>
      <c r="Z1435" s="31"/>
      <c r="AA1435" s="31"/>
      <c r="AB1435" s="31"/>
      <c r="AC1435" s="31"/>
      <c r="AD1435" s="31"/>
      <c r="AE1435" s="31"/>
      <c r="AF1435" s="31"/>
      <c r="AG1435" s="31"/>
    </row>
    <row r="1436" spans="1:33" s="32" customFormat="1" ht="15" customHeight="1">
      <c r="A1436" s="37">
        <v>43601</v>
      </c>
      <c r="B1436" s="20" t="s">
        <v>26</v>
      </c>
      <c r="C1436" s="20" t="s">
        <v>46</v>
      </c>
      <c r="D1436" s="20">
        <v>450</v>
      </c>
      <c r="E1436" s="38">
        <v>1061</v>
      </c>
      <c r="F1436" s="20" t="s">
        <v>8</v>
      </c>
      <c r="G1436" s="43">
        <v>16.5</v>
      </c>
      <c r="H1436" s="43">
        <v>18</v>
      </c>
      <c r="I1436" s="43">
        <v>0</v>
      </c>
      <c r="J1436" s="43">
        <v>0</v>
      </c>
      <c r="K1436" s="1">
        <f t="shared" si="2293"/>
        <v>1591.5</v>
      </c>
      <c r="L1436" s="43">
        <v>0</v>
      </c>
      <c r="M1436" s="43">
        <v>0</v>
      </c>
      <c r="N1436" s="1">
        <f t="shared" si="2291"/>
        <v>1.5</v>
      </c>
      <c r="O1436" s="1">
        <f t="shared" si="2275"/>
        <v>1591.5</v>
      </c>
      <c r="P1436" s="31"/>
      <c r="Q1436" s="31"/>
      <c r="R1436" s="31"/>
      <c r="S1436" s="31"/>
      <c r="T1436" s="31"/>
      <c r="U1436" s="31"/>
      <c r="V1436" s="31"/>
      <c r="W1436" s="31"/>
      <c r="X1436" s="31"/>
      <c r="Y1436" s="31"/>
      <c r="Z1436" s="31"/>
      <c r="AA1436" s="31"/>
      <c r="AB1436" s="31"/>
      <c r="AC1436" s="31"/>
      <c r="AD1436" s="31"/>
      <c r="AE1436" s="31"/>
      <c r="AF1436" s="31"/>
      <c r="AG1436" s="31"/>
    </row>
    <row r="1437" spans="1:33" s="32" customFormat="1" ht="15" customHeight="1">
      <c r="A1437" s="37">
        <v>43600</v>
      </c>
      <c r="B1437" s="20" t="s">
        <v>376</v>
      </c>
      <c r="C1437" s="20" t="s">
        <v>47</v>
      </c>
      <c r="D1437" s="20">
        <v>225</v>
      </c>
      <c r="E1437" s="38">
        <v>4500</v>
      </c>
      <c r="F1437" s="20" t="s">
        <v>8</v>
      </c>
      <c r="G1437" s="43">
        <v>7</v>
      </c>
      <c r="H1437" s="43">
        <v>7.4</v>
      </c>
      <c r="I1437" s="43">
        <v>0</v>
      </c>
      <c r="J1437" s="43">
        <v>0</v>
      </c>
      <c r="K1437" s="1">
        <f t="shared" ref="K1437:K1440" si="2294">(IF(F1437="SELL",G1437-H1437,IF(F1437="BUY",H1437-G1437)))*E1437</f>
        <v>1800.0000000000016</v>
      </c>
      <c r="L1437" s="43">
        <v>0</v>
      </c>
      <c r="M1437" s="43">
        <v>0</v>
      </c>
      <c r="N1437" s="1">
        <f t="shared" si="2291"/>
        <v>0.40000000000000036</v>
      </c>
      <c r="O1437" s="1">
        <f t="shared" si="2275"/>
        <v>1800.0000000000016</v>
      </c>
      <c r="P1437" s="31"/>
      <c r="Q1437" s="31"/>
      <c r="R1437" s="31"/>
      <c r="S1437" s="31"/>
      <c r="T1437" s="31"/>
      <c r="U1437" s="31"/>
      <c r="V1437" s="31"/>
      <c r="W1437" s="31"/>
      <c r="X1437" s="31"/>
      <c r="Y1437" s="31"/>
      <c r="Z1437" s="31"/>
      <c r="AA1437" s="31"/>
      <c r="AB1437" s="31"/>
      <c r="AC1437" s="31"/>
      <c r="AD1437" s="31"/>
      <c r="AE1437" s="31"/>
      <c r="AF1437" s="31"/>
      <c r="AG1437" s="31"/>
    </row>
    <row r="1438" spans="1:33" s="32" customFormat="1" ht="15" customHeight="1">
      <c r="A1438" s="37">
        <v>43600</v>
      </c>
      <c r="B1438" s="20" t="s">
        <v>368</v>
      </c>
      <c r="C1438" s="20" t="s">
        <v>46</v>
      </c>
      <c r="D1438" s="20">
        <v>340</v>
      </c>
      <c r="E1438" s="38">
        <v>1300</v>
      </c>
      <c r="F1438" s="20" t="s">
        <v>8</v>
      </c>
      <c r="G1438" s="43">
        <v>28</v>
      </c>
      <c r="H1438" s="43">
        <v>29.3</v>
      </c>
      <c r="I1438" s="43">
        <v>32</v>
      </c>
      <c r="J1438" s="43">
        <v>0</v>
      </c>
      <c r="K1438" s="1">
        <f t="shared" si="2294"/>
        <v>1690.0000000000009</v>
      </c>
      <c r="L1438" s="43">
        <f>E1438*2.7</f>
        <v>3510.0000000000005</v>
      </c>
      <c r="M1438" s="43">
        <v>0</v>
      </c>
      <c r="N1438" s="1">
        <f t="shared" si="2291"/>
        <v>4.0000000000000018</v>
      </c>
      <c r="O1438" s="1">
        <f t="shared" si="2275"/>
        <v>5200.0000000000027</v>
      </c>
      <c r="P1438" s="31"/>
      <c r="Q1438" s="31"/>
      <c r="R1438" s="31"/>
      <c r="S1438" s="31"/>
      <c r="T1438" s="31"/>
      <c r="U1438" s="31"/>
      <c r="V1438" s="31"/>
      <c r="W1438" s="31"/>
      <c r="X1438" s="31"/>
      <c r="Y1438" s="31"/>
      <c r="Z1438" s="31"/>
      <c r="AA1438" s="31"/>
      <c r="AB1438" s="31"/>
      <c r="AC1438" s="31"/>
      <c r="AD1438" s="31"/>
      <c r="AE1438" s="31"/>
      <c r="AF1438" s="31"/>
      <c r="AG1438" s="31"/>
    </row>
    <row r="1439" spans="1:33" s="32" customFormat="1" ht="15" customHeight="1">
      <c r="A1439" s="37">
        <v>43600</v>
      </c>
      <c r="B1439" s="20" t="s">
        <v>100</v>
      </c>
      <c r="C1439" s="20" t="s">
        <v>47</v>
      </c>
      <c r="D1439" s="20">
        <v>2700</v>
      </c>
      <c r="E1439" s="38">
        <v>250</v>
      </c>
      <c r="F1439" s="20" t="s">
        <v>8</v>
      </c>
      <c r="G1439" s="43">
        <v>117</v>
      </c>
      <c r="H1439" s="43">
        <v>125</v>
      </c>
      <c r="I1439" s="43">
        <v>140</v>
      </c>
      <c r="J1439" s="43">
        <v>0</v>
      </c>
      <c r="K1439" s="1">
        <f t="shared" si="2294"/>
        <v>2000</v>
      </c>
      <c r="L1439" s="43">
        <f>E1439*15</f>
        <v>3750</v>
      </c>
      <c r="M1439" s="43">
        <v>0</v>
      </c>
      <c r="N1439" s="1">
        <f t="shared" si="2291"/>
        <v>23</v>
      </c>
      <c r="O1439" s="1">
        <f t="shared" si="2275"/>
        <v>5750</v>
      </c>
      <c r="P1439" s="31"/>
      <c r="Q1439" s="31"/>
      <c r="R1439" s="31"/>
      <c r="S1439" s="31"/>
      <c r="T1439" s="31"/>
      <c r="U1439" s="31"/>
      <c r="V1439" s="31"/>
      <c r="W1439" s="31"/>
      <c r="X1439" s="31"/>
      <c r="Y1439" s="31"/>
      <c r="Z1439" s="31"/>
      <c r="AA1439" s="31"/>
      <c r="AB1439" s="31"/>
      <c r="AC1439" s="31"/>
      <c r="AD1439" s="31"/>
      <c r="AE1439" s="31"/>
      <c r="AF1439" s="31"/>
      <c r="AG1439" s="31"/>
    </row>
    <row r="1440" spans="1:33" s="32" customFormat="1" ht="15" customHeight="1">
      <c r="A1440" s="37">
        <v>43600</v>
      </c>
      <c r="B1440" s="20" t="s">
        <v>77</v>
      </c>
      <c r="C1440" s="20" t="s">
        <v>47</v>
      </c>
      <c r="D1440" s="20">
        <v>350</v>
      </c>
      <c r="E1440" s="38">
        <v>2667</v>
      </c>
      <c r="F1440" s="20" t="s">
        <v>8</v>
      </c>
      <c r="G1440" s="43">
        <v>10.5</v>
      </c>
      <c r="H1440" s="43">
        <v>8</v>
      </c>
      <c r="I1440" s="43">
        <v>0</v>
      </c>
      <c r="J1440" s="43">
        <v>0</v>
      </c>
      <c r="K1440" s="1">
        <f t="shared" si="2294"/>
        <v>-6667.5</v>
      </c>
      <c r="L1440" s="43">
        <v>0</v>
      </c>
      <c r="M1440" s="43">
        <v>0</v>
      </c>
      <c r="N1440" s="1">
        <f t="shared" si="2291"/>
        <v>-2.5</v>
      </c>
      <c r="O1440" s="1">
        <f t="shared" ref="O1440:O1503" si="2295">N1440*E1440</f>
        <v>-6667.5</v>
      </c>
      <c r="P1440" s="31"/>
      <c r="Q1440" s="31"/>
      <c r="R1440" s="31"/>
      <c r="S1440" s="31"/>
      <c r="T1440" s="31"/>
      <c r="U1440" s="31"/>
      <c r="V1440" s="31"/>
      <c r="W1440" s="31"/>
      <c r="X1440" s="31"/>
      <c r="Y1440" s="31"/>
      <c r="Z1440" s="31"/>
      <c r="AA1440" s="31"/>
      <c r="AB1440" s="31"/>
      <c r="AC1440" s="31"/>
      <c r="AD1440" s="31"/>
      <c r="AE1440" s="31"/>
      <c r="AF1440" s="31"/>
      <c r="AG1440" s="31"/>
    </row>
    <row r="1441" spans="1:33" s="32" customFormat="1" ht="15" customHeight="1">
      <c r="A1441" s="37">
        <v>43599</v>
      </c>
      <c r="B1441" s="20" t="s">
        <v>21</v>
      </c>
      <c r="C1441" s="20" t="s">
        <v>46</v>
      </c>
      <c r="D1441" s="20">
        <v>310</v>
      </c>
      <c r="E1441" s="38">
        <v>3000</v>
      </c>
      <c r="F1441" s="20" t="s">
        <v>8</v>
      </c>
      <c r="G1441" s="43">
        <v>13.8</v>
      </c>
      <c r="H1441" s="43">
        <v>14.3</v>
      </c>
      <c r="I1441" s="43">
        <v>0</v>
      </c>
      <c r="J1441" s="43">
        <v>0</v>
      </c>
      <c r="K1441" s="1">
        <f t="shared" ref="K1441:K1444" si="2296">(IF(F1441="SELL",G1441-H1441,IF(F1441="BUY",H1441-G1441)))*E1441</f>
        <v>1500</v>
      </c>
      <c r="L1441" s="43">
        <v>0</v>
      </c>
      <c r="M1441" s="43">
        <v>0</v>
      </c>
      <c r="N1441" s="1">
        <f t="shared" si="2291"/>
        <v>0.5</v>
      </c>
      <c r="O1441" s="1">
        <f t="shared" si="2295"/>
        <v>1500</v>
      </c>
      <c r="P1441" s="31"/>
      <c r="Q1441" s="31"/>
      <c r="R1441" s="31"/>
      <c r="S1441" s="31"/>
      <c r="T1441" s="31"/>
      <c r="U1441" s="31"/>
      <c r="V1441" s="31"/>
      <c r="W1441" s="31"/>
      <c r="X1441" s="31"/>
      <c r="Y1441" s="31"/>
      <c r="Z1441" s="31"/>
      <c r="AA1441" s="31"/>
      <c r="AB1441" s="31"/>
      <c r="AC1441" s="31"/>
      <c r="AD1441" s="31"/>
      <c r="AE1441" s="31"/>
      <c r="AF1441" s="31"/>
      <c r="AG1441" s="31"/>
    </row>
    <row r="1442" spans="1:33" s="32" customFormat="1" ht="15" customHeight="1">
      <c r="A1442" s="37">
        <v>43599</v>
      </c>
      <c r="B1442" s="20" t="s">
        <v>367</v>
      </c>
      <c r="C1442" s="20" t="s">
        <v>46</v>
      </c>
      <c r="D1442" s="20">
        <v>180</v>
      </c>
      <c r="E1442" s="38">
        <v>3000</v>
      </c>
      <c r="F1442" s="20" t="s">
        <v>8</v>
      </c>
      <c r="G1442" s="43">
        <v>7.5</v>
      </c>
      <c r="H1442" s="43">
        <v>7.6</v>
      </c>
      <c r="I1442" s="43">
        <v>0</v>
      </c>
      <c r="J1442" s="43">
        <v>0</v>
      </c>
      <c r="K1442" s="1">
        <f t="shared" si="2296"/>
        <v>299.99999999999892</v>
      </c>
      <c r="L1442" s="43">
        <v>0</v>
      </c>
      <c r="M1442" s="43">
        <v>0</v>
      </c>
      <c r="N1442" s="1">
        <f t="shared" si="2291"/>
        <v>9.9999999999999645E-2</v>
      </c>
      <c r="O1442" s="1">
        <f t="shared" si="2295"/>
        <v>299.99999999999892</v>
      </c>
      <c r="P1442" s="31"/>
      <c r="Q1442" s="31"/>
      <c r="R1442" s="31"/>
      <c r="S1442" s="31"/>
      <c r="T1442" s="31"/>
      <c r="U1442" s="31"/>
      <c r="V1442" s="31"/>
      <c r="W1442" s="31"/>
      <c r="X1442" s="31"/>
      <c r="Y1442" s="31"/>
      <c r="Z1442" s="31"/>
      <c r="AA1442" s="31"/>
      <c r="AB1442" s="31"/>
      <c r="AC1442" s="31"/>
      <c r="AD1442" s="31"/>
      <c r="AE1442" s="31"/>
      <c r="AF1442" s="31"/>
      <c r="AG1442" s="31"/>
    </row>
    <row r="1443" spans="1:33" s="32" customFormat="1" ht="15" customHeight="1">
      <c r="A1443" s="37">
        <v>43599</v>
      </c>
      <c r="B1443" s="20" t="s">
        <v>26</v>
      </c>
      <c r="C1443" s="20" t="s">
        <v>46</v>
      </c>
      <c r="D1443" s="20">
        <v>460</v>
      </c>
      <c r="E1443" s="38">
        <v>1061</v>
      </c>
      <c r="F1443" s="20" t="s">
        <v>8</v>
      </c>
      <c r="G1443" s="43">
        <v>19.5</v>
      </c>
      <c r="H1443" s="43">
        <v>16</v>
      </c>
      <c r="I1443" s="43">
        <v>0</v>
      </c>
      <c r="J1443" s="43">
        <v>0</v>
      </c>
      <c r="K1443" s="1">
        <f t="shared" si="2296"/>
        <v>-3713.5</v>
      </c>
      <c r="L1443" s="43">
        <v>0</v>
      </c>
      <c r="M1443" s="43">
        <v>0</v>
      </c>
      <c r="N1443" s="1">
        <f t="shared" si="2291"/>
        <v>-3.5</v>
      </c>
      <c r="O1443" s="1">
        <f t="shared" si="2295"/>
        <v>-3713.5</v>
      </c>
      <c r="P1443" s="31"/>
      <c r="Q1443" s="31"/>
      <c r="R1443" s="31"/>
      <c r="S1443" s="31"/>
      <c r="T1443" s="31"/>
      <c r="U1443" s="31"/>
      <c r="V1443" s="31"/>
      <c r="W1443" s="31"/>
      <c r="X1443" s="31"/>
      <c r="Y1443" s="31"/>
      <c r="Z1443" s="31"/>
      <c r="AA1443" s="31"/>
      <c r="AB1443" s="31"/>
      <c r="AC1443" s="31"/>
      <c r="AD1443" s="31"/>
      <c r="AE1443" s="31"/>
      <c r="AF1443" s="31"/>
      <c r="AG1443" s="31"/>
    </row>
    <row r="1444" spans="1:33" s="32" customFormat="1" ht="15" customHeight="1">
      <c r="A1444" s="37">
        <v>43599</v>
      </c>
      <c r="B1444" s="20" t="s">
        <v>399</v>
      </c>
      <c r="C1444" s="20" t="s">
        <v>47</v>
      </c>
      <c r="D1444" s="20">
        <v>210</v>
      </c>
      <c r="E1444" s="38">
        <v>2250</v>
      </c>
      <c r="F1444" s="20" t="s">
        <v>8</v>
      </c>
      <c r="G1444" s="43">
        <v>7</v>
      </c>
      <c r="H1444" s="43">
        <v>5</v>
      </c>
      <c r="I1444" s="43">
        <v>0</v>
      </c>
      <c r="J1444" s="43">
        <v>0</v>
      </c>
      <c r="K1444" s="1">
        <f t="shared" si="2296"/>
        <v>-4500</v>
      </c>
      <c r="L1444" s="43">
        <v>0</v>
      </c>
      <c r="M1444" s="43">
        <v>0</v>
      </c>
      <c r="N1444" s="1">
        <f t="shared" si="2291"/>
        <v>-2</v>
      </c>
      <c r="O1444" s="1">
        <f t="shared" si="2295"/>
        <v>-4500</v>
      </c>
      <c r="P1444" s="31"/>
      <c r="Q1444" s="31"/>
      <c r="R1444" s="31"/>
      <c r="S1444" s="31"/>
      <c r="T1444" s="31"/>
      <c r="U1444" s="31"/>
      <c r="V1444" s="31"/>
      <c r="W1444" s="31"/>
      <c r="X1444" s="31"/>
      <c r="Y1444" s="31"/>
      <c r="Z1444" s="31"/>
      <c r="AA1444" s="31"/>
      <c r="AB1444" s="31"/>
      <c r="AC1444" s="31"/>
      <c r="AD1444" s="31"/>
      <c r="AE1444" s="31"/>
      <c r="AF1444" s="31"/>
      <c r="AG1444" s="31"/>
    </row>
    <row r="1445" spans="1:33" s="32" customFormat="1" ht="15" customHeight="1">
      <c r="A1445" s="37">
        <v>43598</v>
      </c>
      <c r="B1445" s="20" t="s">
        <v>416</v>
      </c>
      <c r="C1445" s="20" t="s">
        <v>46</v>
      </c>
      <c r="D1445" s="20">
        <v>110</v>
      </c>
      <c r="E1445" s="38">
        <v>1500</v>
      </c>
      <c r="F1445" s="20" t="s">
        <v>8</v>
      </c>
      <c r="G1445" s="43">
        <v>11.5</v>
      </c>
      <c r="H1445" s="43">
        <v>13</v>
      </c>
      <c r="I1445" s="43">
        <v>15</v>
      </c>
      <c r="J1445" s="43">
        <v>16.75</v>
      </c>
      <c r="K1445" s="1">
        <f t="shared" ref="K1445:K1447" si="2297">(IF(F1445="SELL",G1445-H1445,IF(F1445="BUY",H1445-G1445)))*E1445</f>
        <v>2250</v>
      </c>
      <c r="L1445" s="43">
        <f>E1445*2</f>
        <v>3000</v>
      </c>
      <c r="M1445" s="43">
        <f>E1445*1.75</f>
        <v>2625</v>
      </c>
      <c r="N1445" s="1">
        <f t="shared" si="2291"/>
        <v>5.25</v>
      </c>
      <c r="O1445" s="1">
        <f t="shared" si="2295"/>
        <v>7875</v>
      </c>
      <c r="P1445" s="31"/>
      <c r="Q1445" s="31"/>
      <c r="R1445" s="31"/>
      <c r="S1445" s="31"/>
      <c r="T1445" s="31"/>
      <c r="U1445" s="31"/>
      <c r="V1445" s="31"/>
      <c r="W1445" s="31"/>
      <c r="X1445" s="31"/>
      <c r="Y1445" s="31"/>
      <c r="Z1445" s="31"/>
      <c r="AA1445" s="31"/>
      <c r="AB1445" s="31"/>
      <c r="AC1445" s="31"/>
      <c r="AD1445" s="31"/>
      <c r="AE1445" s="31"/>
      <c r="AF1445" s="31"/>
      <c r="AG1445" s="31"/>
    </row>
    <row r="1446" spans="1:33" s="32" customFormat="1" ht="15" customHeight="1">
      <c r="A1446" s="37">
        <v>43598</v>
      </c>
      <c r="B1446" s="20" t="s">
        <v>332</v>
      </c>
      <c r="C1446" s="20" t="s">
        <v>47</v>
      </c>
      <c r="D1446" s="20">
        <v>820</v>
      </c>
      <c r="E1446" s="38">
        <v>1200</v>
      </c>
      <c r="F1446" s="20" t="s">
        <v>8</v>
      </c>
      <c r="G1446" s="43">
        <v>29</v>
      </c>
      <c r="H1446" s="43">
        <v>30.3</v>
      </c>
      <c r="I1446" s="43">
        <v>0</v>
      </c>
      <c r="J1446" s="43">
        <v>0</v>
      </c>
      <c r="K1446" s="1">
        <f t="shared" si="2297"/>
        <v>1560.0000000000009</v>
      </c>
      <c r="L1446" s="43">
        <v>0</v>
      </c>
      <c r="M1446" s="43">
        <v>0</v>
      </c>
      <c r="N1446" s="1">
        <f t="shared" si="2291"/>
        <v>1.3000000000000007</v>
      </c>
      <c r="O1446" s="1">
        <f t="shared" si="2295"/>
        <v>1560.0000000000009</v>
      </c>
      <c r="P1446" s="31"/>
      <c r="Q1446" s="31"/>
      <c r="R1446" s="31"/>
      <c r="S1446" s="31"/>
      <c r="T1446" s="31"/>
      <c r="U1446" s="31"/>
      <c r="V1446" s="31"/>
      <c r="W1446" s="31"/>
      <c r="X1446" s="31"/>
      <c r="Y1446" s="31"/>
      <c r="Z1446" s="31"/>
      <c r="AA1446" s="31"/>
      <c r="AB1446" s="31"/>
      <c r="AC1446" s="31"/>
      <c r="AD1446" s="31"/>
      <c r="AE1446" s="31"/>
      <c r="AF1446" s="31"/>
      <c r="AG1446" s="31"/>
    </row>
    <row r="1447" spans="1:33" s="32" customFormat="1" ht="15" customHeight="1">
      <c r="A1447" s="37">
        <v>43598</v>
      </c>
      <c r="B1447" s="20" t="s">
        <v>417</v>
      </c>
      <c r="C1447" s="20" t="s">
        <v>46</v>
      </c>
      <c r="D1447" s="20">
        <v>600</v>
      </c>
      <c r="E1447" s="38">
        <v>1000</v>
      </c>
      <c r="F1447" s="20" t="s">
        <v>8</v>
      </c>
      <c r="G1447" s="43">
        <v>24</v>
      </c>
      <c r="H1447" s="43">
        <v>25.5</v>
      </c>
      <c r="I1447" s="43">
        <v>28.5</v>
      </c>
      <c r="J1447" s="43">
        <v>0</v>
      </c>
      <c r="K1447" s="1">
        <f t="shared" si="2297"/>
        <v>1500</v>
      </c>
      <c r="L1447" s="43">
        <f>E1447*3</f>
        <v>3000</v>
      </c>
      <c r="M1447" s="43">
        <v>0</v>
      </c>
      <c r="N1447" s="1">
        <f t="shared" si="2291"/>
        <v>4.5</v>
      </c>
      <c r="O1447" s="1">
        <f t="shared" si="2295"/>
        <v>4500</v>
      </c>
      <c r="P1447" s="31"/>
      <c r="Q1447" s="31"/>
      <c r="R1447" s="31"/>
      <c r="S1447" s="31"/>
      <c r="T1447" s="31"/>
      <c r="U1447" s="31"/>
      <c r="V1447" s="31"/>
      <c r="W1447" s="31"/>
      <c r="X1447" s="31"/>
      <c r="Y1447" s="31"/>
      <c r="Z1447" s="31"/>
      <c r="AA1447" s="31"/>
      <c r="AB1447" s="31"/>
      <c r="AC1447" s="31"/>
      <c r="AD1447" s="31"/>
      <c r="AE1447" s="31"/>
      <c r="AF1447" s="31"/>
      <c r="AG1447" s="31"/>
    </row>
    <row r="1448" spans="1:33" s="32" customFormat="1" ht="15" customHeight="1">
      <c r="A1448" s="37">
        <v>43595</v>
      </c>
      <c r="B1448" s="20" t="s">
        <v>150</v>
      </c>
      <c r="C1448" s="20" t="s">
        <v>47</v>
      </c>
      <c r="D1448" s="20">
        <v>270</v>
      </c>
      <c r="E1448" s="38">
        <v>2000</v>
      </c>
      <c r="F1448" s="20" t="s">
        <v>8</v>
      </c>
      <c r="G1448" s="43">
        <v>16.5</v>
      </c>
      <c r="H1448" s="43">
        <v>18</v>
      </c>
      <c r="I1448" s="43">
        <v>0</v>
      </c>
      <c r="J1448" s="43">
        <v>0</v>
      </c>
      <c r="K1448" s="1">
        <f t="shared" ref="K1448:K1451" si="2298">(IF(F1448="SELL",G1448-H1448,IF(F1448="BUY",H1448-G1448)))*E1448</f>
        <v>3000</v>
      </c>
      <c r="L1448" s="43">
        <v>0</v>
      </c>
      <c r="M1448" s="43">
        <v>0</v>
      </c>
      <c r="N1448" s="1">
        <f t="shared" si="2291"/>
        <v>1.5</v>
      </c>
      <c r="O1448" s="1">
        <f t="shared" si="2295"/>
        <v>3000</v>
      </c>
      <c r="P1448" s="31"/>
      <c r="Q1448" s="31"/>
      <c r="R1448" s="31"/>
      <c r="S1448" s="31"/>
      <c r="T1448" s="31"/>
      <c r="U1448" s="31"/>
      <c r="V1448" s="31"/>
      <c r="W1448" s="31"/>
      <c r="X1448" s="31"/>
      <c r="Y1448" s="31"/>
      <c r="Z1448" s="31"/>
      <c r="AA1448" s="31"/>
      <c r="AB1448" s="31"/>
      <c r="AC1448" s="31"/>
      <c r="AD1448" s="31"/>
      <c r="AE1448" s="31"/>
      <c r="AF1448" s="31"/>
      <c r="AG1448" s="31"/>
    </row>
    <row r="1449" spans="1:33" s="32" customFormat="1" ht="15" customHeight="1">
      <c r="A1449" s="37">
        <v>43595</v>
      </c>
      <c r="B1449" s="20" t="s">
        <v>414</v>
      </c>
      <c r="C1449" s="20" t="s">
        <v>47</v>
      </c>
      <c r="D1449" s="20">
        <v>170</v>
      </c>
      <c r="E1449" s="38">
        <v>1750</v>
      </c>
      <c r="F1449" s="20" t="s">
        <v>8</v>
      </c>
      <c r="G1449" s="43">
        <v>14.5</v>
      </c>
      <c r="H1449" s="43">
        <v>12.75</v>
      </c>
      <c r="I1449" s="43">
        <v>0</v>
      </c>
      <c r="J1449" s="43">
        <v>0</v>
      </c>
      <c r="K1449" s="1">
        <f t="shared" si="2298"/>
        <v>-3062.5</v>
      </c>
      <c r="L1449" s="43">
        <v>0</v>
      </c>
      <c r="M1449" s="43">
        <v>0</v>
      </c>
      <c r="N1449" s="1">
        <f t="shared" si="2291"/>
        <v>-1.75</v>
      </c>
      <c r="O1449" s="1">
        <f t="shared" si="2295"/>
        <v>-3062.5</v>
      </c>
      <c r="P1449" s="31"/>
      <c r="Q1449" s="31"/>
      <c r="R1449" s="31"/>
      <c r="S1449" s="31"/>
      <c r="T1449" s="31"/>
      <c r="U1449" s="31"/>
      <c r="V1449" s="31"/>
      <c r="W1449" s="31"/>
      <c r="X1449" s="31"/>
      <c r="Y1449" s="31"/>
      <c r="Z1449" s="31"/>
      <c r="AA1449" s="31"/>
      <c r="AB1449" s="31"/>
      <c r="AC1449" s="31"/>
      <c r="AD1449" s="31"/>
      <c r="AE1449" s="31"/>
      <c r="AF1449" s="31"/>
      <c r="AG1449" s="31"/>
    </row>
    <row r="1450" spans="1:33" s="32" customFormat="1" ht="15" customHeight="1">
      <c r="A1450" s="37">
        <v>43595</v>
      </c>
      <c r="B1450" s="20" t="s">
        <v>367</v>
      </c>
      <c r="C1450" s="20" t="s">
        <v>47</v>
      </c>
      <c r="D1450" s="20">
        <v>190</v>
      </c>
      <c r="E1450" s="38">
        <v>3000</v>
      </c>
      <c r="F1450" s="20" t="s">
        <v>8</v>
      </c>
      <c r="G1450" s="43">
        <v>7.8</v>
      </c>
      <c r="H1450" s="43">
        <v>8.3000000000000007</v>
      </c>
      <c r="I1450" s="43">
        <v>9.25</v>
      </c>
      <c r="J1450" s="43">
        <v>0</v>
      </c>
      <c r="K1450" s="1">
        <f t="shared" si="2298"/>
        <v>1500.0000000000027</v>
      </c>
      <c r="L1450" s="43">
        <f>E1450*0.95</f>
        <v>2850</v>
      </c>
      <c r="M1450" s="43">
        <v>0</v>
      </c>
      <c r="N1450" s="1">
        <f t="shared" si="2291"/>
        <v>1.4500000000000008</v>
      </c>
      <c r="O1450" s="1">
        <f t="shared" si="2295"/>
        <v>4350.0000000000027</v>
      </c>
      <c r="P1450" s="31"/>
      <c r="Q1450" s="31"/>
      <c r="R1450" s="31"/>
      <c r="S1450" s="31"/>
      <c r="T1450" s="31"/>
      <c r="U1450" s="31"/>
      <c r="V1450" s="31"/>
      <c r="W1450" s="31"/>
      <c r="X1450" s="31"/>
      <c r="Y1450" s="31"/>
      <c r="Z1450" s="31"/>
      <c r="AA1450" s="31"/>
      <c r="AB1450" s="31"/>
      <c r="AC1450" s="31"/>
      <c r="AD1450" s="31"/>
      <c r="AE1450" s="31"/>
      <c r="AF1450" s="31"/>
      <c r="AG1450" s="31"/>
    </row>
    <row r="1451" spans="1:33" s="32" customFormat="1" ht="15" customHeight="1">
      <c r="A1451" s="37">
        <v>43595</v>
      </c>
      <c r="B1451" s="20" t="s">
        <v>406</v>
      </c>
      <c r="C1451" s="20" t="s">
        <v>47</v>
      </c>
      <c r="D1451" s="20">
        <v>270</v>
      </c>
      <c r="E1451" s="38">
        <v>1250</v>
      </c>
      <c r="F1451" s="20" t="s">
        <v>8</v>
      </c>
      <c r="G1451" s="43">
        <v>13.75</v>
      </c>
      <c r="H1451" s="43">
        <v>12.75</v>
      </c>
      <c r="I1451" s="43">
        <v>0</v>
      </c>
      <c r="J1451" s="43">
        <v>0</v>
      </c>
      <c r="K1451" s="1">
        <f t="shared" si="2298"/>
        <v>-1250</v>
      </c>
      <c r="L1451" s="43">
        <v>0</v>
      </c>
      <c r="M1451" s="43">
        <v>0</v>
      </c>
      <c r="N1451" s="1">
        <f t="shared" si="2291"/>
        <v>-1</v>
      </c>
      <c r="O1451" s="1">
        <f t="shared" si="2295"/>
        <v>-1250</v>
      </c>
      <c r="P1451" s="31"/>
      <c r="Q1451" s="31"/>
      <c r="R1451" s="31"/>
      <c r="S1451" s="31"/>
      <c r="T1451" s="31"/>
      <c r="U1451" s="31"/>
      <c r="V1451" s="31"/>
      <c r="W1451" s="31"/>
      <c r="X1451" s="31"/>
      <c r="Y1451" s="31"/>
      <c r="Z1451" s="31"/>
      <c r="AA1451" s="31"/>
      <c r="AB1451" s="31"/>
      <c r="AC1451" s="31"/>
      <c r="AD1451" s="31"/>
      <c r="AE1451" s="31"/>
      <c r="AF1451" s="31"/>
      <c r="AG1451" s="31"/>
    </row>
    <row r="1452" spans="1:33" s="32" customFormat="1" ht="15" customHeight="1">
      <c r="A1452" s="37">
        <v>43594</v>
      </c>
      <c r="B1452" s="20" t="s">
        <v>368</v>
      </c>
      <c r="C1452" s="20" t="s">
        <v>47</v>
      </c>
      <c r="D1452" s="20">
        <v>350</v>
      </c>
      <c r="E1452" s="38">
        <v>1300</v>
      </c>
      <c r="F1452" s="20" t="s">
        <v>8</v>
      </c>
      <c r="G1452" s="43">
        <v>31</v>
      </c>
      <c r="H1452" s="43">
        <v>32.200000000000003</v>
      </c>
      <c r="I1452" s="43">
        <v>35</v>
      </c>
      <c r="J1452" s="43">
        <v>0</v>
      </c>
      <c r="K1452" s="1">
        <f t="shared" ref="K1452" si="2299">(IF(F1452="SELL",G1452-H1452,IF(F1452="BUY",H1452-G1452)))*E1452</f>
        <v>1560.0000000000036</v>
      </c>
      <c r="L1452" s="43">
        <f>E1452*2.8</f>
        <v>3639.9999999999995</v>
      </c>
      <c r="M1452" s="43">
        <v>0</v>
      </c>
      <c r="N1452" s="1">
        <f t="shared" si="2291"/>
        <v>4.0000000000000027</v>
      </c>
      <c r="O1452" s="1">
        <f t="shared" si="2295"/>
        <v>5200.0000000000036</v>
      </c>
      <c r="P1452" s="31"/>
      <c r="Q1452" s="31"/>
      <c r="R1452" s="31"/>
      <c r="S1452" s="31"/>
      <c r="T1452" s="31"/>
      <c r="U1452" s="31"/>
      <c r="V1452" s="31"/>
      <c r="W1452" s="31"/>
      <c r="X1452" s="31"/>
      <c r="Y1452" s="31"/>
      <c r="Z1452" s="31"/>
      <c r="AA1452" s="31"/>
      <c r="AB1452" s="31"/>
      <c r="AC1452" s="31"/>
      <c r="AD1452" s="31"/>
      <c r="AE1452" s="31"/>
      <c r="AF1452" s="31"/>
      <c r="AG1452" s="31"/>
    </row>
    <row r="1453" spans="1:33" s="32" customFormat="1" ht="15" customHeight="1">
      <c r="A1453" s="37">
        <v>43594</v>
      </c>
      <c r="B1453" s="20" t="s">
        <v>34</v>
      </c>
      <c r="C1453" s="20" t="s">
        <v>46</v>
      </c>
      <c r="D1453" s="20">
        <v>200</v>
      </c>
      <c r="E1453" s="38">
        <v>3500</v>
      </c>
      <c r="F1453" s="20" t="s">
        <v>8</v>
      </c>
      <c r="G1453" s="43">
        <v>9</v>
      </c>
      <c r="H1453" s="43">
        <v>10</v>
      </c>
      <c r="I1453" s="43">
        <v>0</v>
      </c>
      <c r="J1453" s="43">
        <v>0</v>
      </c>
      <c r="K1453" s="1">
        <f>(IF(F1453="SELL",G1453-H1453,IF(F1453="BUY",H1453-G1453)))*E1453</f>
        <v>3500</v>
      </c>
      <c r="L1453" s="43">
        <v>0</v>
      </c>
      <c r="M1453" s="43">
        <v>0</v>
      </c>
      <c r="N1453" s="1">
        <f t="shared" si="2291"/>
        <v>1</v>
      </c>
      <c r="O1453" s="1">
        <f t="shared" si="2295"/>
        <v>3500</v>
      </c>
      <c r="P1453" s="31"/>
      <c r="Q1453" s="31"/>
      <c r="R1453" s="31"/>
      <c r="S1453" s="31"/>
      <c r="T1453" s="31"/>
      <c r="U1453" s="31"/>
      <c r="V1453" s="31"/>
      <c r="W1453" s="31"/>
      <c r="X1453" s="31"/>
      <c r="Y1453" s="31"/>
      <c r="Z1453" s="31"/>
      <c r="AA1453" s="31"/>
      <c r="AB1453" s="31"/>
      <c r="AC1453" s="31"/>
      <c r="AD1453" s="31"/>
      <c r="AE1453" s="31"/>
      <c r="AF1453" s="31"/>
      <c r="AG1453" s="31"/>
    </row>
    <row r="1454" spans="1:33" s="32" customFormat="1" ht="15" customHeight="1">
      <c r="A1454" s="37">
        <v>43594</v>
      </c>
      <c r="B1454" s="20" t="s">
        <v>414</v>
      </c>
      <c r="C1454" s="20" t="s">
        <v>47</v>
      </c>
      <c r="D1454" s="20">
        <v>160</v>
      </c>
      <c r="E1454" s="38">
        <v>1750</v>
      </c>
      <c r="F1454" s="20" t="s">
        <v>8</v>
      </c>
      <c r="G1454" s="43">
        <v>17.5</v>
      </c>
      <c r="H1454" s="43">
        <v>18.5</v>
      </c>
      <c r="I1454" s="43">
        <v>0</v>
      </c>
      <c r="J1454" s="43">
        <v>0</v>
      </c>
      <c r="K1454" s="1">
        <f t="shared" ref="K1454:K1455" si="2300">(IF(F1454="SELL",G1454-H1454,IF(F1454="BUY",H1454-G1454)))*E1454</f>
        <v>1750</v>
      </c>
      <c r="L1454" s="43">
        <v>0</v>
      </c>
      <c r="M1454" s="43">
        <v>0</v>
      </c>
      <c r="N1454" s="1">
        <f t="shared" si="2291"/>
        <v>1</v>
      </c>
      <c r="O1454" s="1">
        <f t="shared" si="2295"/>
        <v>1750</v>
      </c>
      <c r="P1454" s="31"/>
      <c r="Q1454" s="31"/>
      <c r="R1454" s="31"/>
      <c r="S1454" s="31"/>
      <c r="T1454" s="31"/>
      <c r="U1454" s="31"/>
      <c r="V1454" s="31"/>
      <c r="W1454" s="31"/>
      <c r="X1454" s="31"/>
      <c r="Y1454" s="31"/>
      <c r="Z1454" s="31"/>
      <c r="AA1454" s="31"/>
      <c r="AB1454" s="31"/>
      <c r="AC1454" s="31"/>
      <c r="AD1454" s="31"/>
      <c r="AE1454" s="31"/>
      <c r="AF1454" s="31"/>
      <c r="AG1454" s="31"/>
    </row>
    <row r="1455" spans="1:33" s="32" customFormat="1" ht="15" customHeight="1">
      <c r="A1455" s="37">
        <v>43594</v>
      </c>
      <c r="B1455" s="20" t="s">
        <v>413</v>
      </c>
      <c r="C1455" s="20" t="s">
        <v>47</v>
      </c>
      <c r="D1455" s="20">
        <v>680</v>
      </c>
      <c r="E1455" s="38">
        <v>500</v>
      </c>
      <c r="F1455" s="20" t="s">
        <v>8</v>
      </c>
      <c r="G1455" s="43">
        <v>52</v>
      </c>
      <c r="H1455" s="43">
        <v>49</v>
      </c>
      <c r="I1455" s="43">
        <v>0</v>
      </c>
      <c r="J1455" s="43">
        <v>0</v>
      </c>
      <c r="K1455" s="1">
        <f t="shared" si="2300"/>
        <v>-1500</v>
      </c>
      <c r="L1455" s="43">
        <v>0</v>
      </c>
      <c r="M1455" s="43">
        <v>0</v>
      </c>
      <c r="N1455" s="1">
        <f t="shared" si="2291"/>
        <v>-3</v>
      </c>
      <c r="O1455" s="1">
        <f t="shared" si="2295"/>
        <v>-1500</v>
      </c>
      <c r="P1455" s="31"/>
      <c r="Q1455" s="31"/>
      <c r="R1455" s="31"/>
      <c r="S1455" s="31"/>
      <c r="T1455" s="31"/>
      <c r="U1455" s="31"/>
      <c r="V1455" s="31"/>
      <c r="W1455" s="31"/>
      <c r="X1455" s="31"/>
      <c r="Y1455" s="31"/>
      <c r="Z1455" s="31"/>
      <c r="AA1455" s="31"/>
      <c r="AB1455" s="31"/>
      <c r="AC1455" s="31"/>
      <c r="AD1455" s="31"/>
      <c r="AE1455" s="31"/>
      <c r="AF1455" s="31"/>
      <c r="AG1455" s="31"/>
    </row>
    <row r="1456" spans="1:33" s="32" customFormat="1" ht="15" customHeight="1">
      <c r="A1456" s="37">
        <v>43593</v>
      </c>
      <c r="B1456" s="20" t="s">
        <v>405</v>
      </c>
      <c r="C1456" s="20" t="s">
        <v>46</v>
      </c>
      <c r="D1456" s="20">
        <v>360</v>
      </c>
      <c r="E1456" s="38">
        <v>1300</v>
      </c>
      <c r="F1456" s="20" t="s">
        <v>8</v>
      </c>
      <c r="G1456" s="43">
        <v>27.8</v>
      </c>
      <c r="H1456" s="43">
        <v>29</v>
      </c>
      <c r="I1456" s="43">
        <v>31.5</v>
      </c>
      <c r="J1456" s="43">
        <v>0</v>
      </c>
      <c r="K1456" s="1">
        <f t="shared" ref="K1456:K1459" si="2301">(IF(F1456="SELL",G1456-H1456,IF(F1456="BUY",H1456-G1456)))*E1456</f>
        <v>1559.9999999999991</v>
      </c>
      <c r="L1456" s="43">
        <f>E1456*2.5</f>
        <v>3250</v>
      </c>
      <c r="M1456" s="43">
        <v>0</v>
      </c>
      <c r="N1456" s="1">
        <f t="shared" si="2291"/>
        <v>3.6999999999999993</v>
      </c>
      <c r="O1456" s="1">
        <f t="shared" si="2295"/>
        <v>4809.9999999999991</v>
      </c>
      <c r="P1456" s="31"/>
      <c r="Q1456" s="31"/>
      <c r="R1456" s="31"/>
      <c r="S1456" s="31"/>
      <c r="T1456" s="31"/>
      <c r="U1456" s="31"/>
      <c r="V1456" s="31"/>
      <c r="W1456" s="31"/>
      <c r="X1456" s="31"/>
      <c r="Y1456" s="31"/>
      <c r="Z1456" s="31"/>
      <c r="AA1456" s="31"/>
      <c r="AB1456" s="31"/>
      <c r="AC1456" s="31"/>
      <c r="AD1456" s="31"/>
      <c r="AE1456" s="31"/>
      <c r="AF1456" s="31"/>
      <c r="AG1456" s="31"/>
    </row>
    <row r="1457" spans="1:33" s="32" customFormat="1" ht="15" customHeight="1">
      <c r="A1457" s="37">
        <v>43593</v>
      </c>
      <c r="B1457" s="20" t="s">
        <v>405</v>
      </c>
      <c r="C1457" s="20" t="s">
        <v>46</v>
      </c>
      <c r="D1457" s="20">
        <v>330</v>
      </c>
      <c r="E1457" s="38">
        <v>1300</v>
      </c>
      <c r="F1457" s="20" t="s">
        <v>8</v>
      </c>
      <c r="G1457" s="43">
        <v>32</v>
      </c>
      <c r="H1457" s="43">
        <v>34</v>
      </c>
      <c r="I1457" s="43">
        <v>37</v>
      </c>
      <c r="J1457" s="43">
        <v>0</v>
      </c>
      <c r="K1457" s="1">
        <f t="shared" si="2301"/>
        <v>2600</v>
      </c>
      <c r="L1457" s="43">
        <f>E1457*3</f>
        <v>3900</v>
      </c>
      <c r="M1457" s="43">
        <v>0</v>
      </c>
      <c r="N1457" s="1">
        <f t="shared" si="2291"/>
        <v>5</v>
      </c>
      <c r="O1457" s="1">
        <f t="shared" si="2295"/>
        <v>6500</v>
      </c>
      <c r="P1457" s="31"/>
      <c r="Q1457" s="31"/>
      <c r="R1457" s="31"/>
      <c r="S1457" s="31"/>
      <c r="T1457" s="31"/>
      <c r="U1457" s="31"/>
      <c r="V1457" s="31"/>
      <c r="W1457" s="31"/>
      <c r="X1457" s="31"/>
      <c r="Y1457" s="31"/>
      <c r="Z1457" s="31"/>
      <c r="AA1457" s="31"/>
      <c r="AB1457" s="31"/>
      <c r="AC1457" s="31"/>
      <c r="AD1457" s="31"/>
      <c r="AE1457" s="31"/>
      <c r="AF1457" s="31"/>
      <c r="AG1457" s="31"/>
    </row>
    <row r="1458" spans="1:33" s="32" customFormat="1" ht="15" customHeight="1">
      <c r="A1458" s="37">
        <v>43593</v>
      </c>
      <c r="B1458" s="20" t="s">
        <v>89</v>
      </c>
      <c r="C1458" s="20" t="s">
        <v>46</v>
      </c>
      <c r="D1458" s="20">
        <v>640</v>
      </c>
      <c r="E1458" s="38">
        <v>1100</v>
      </c>
      <c r="F1458" s="20" t="s">
        <v>8</v>
      </c>
      <c r="G1458" s="43">
        <v>35</v>
      </c>
      <c r="H1458" s="43">
        <v>36.5</v>
      </c>
      <c r="I1458" s="43">
        <v>0</v>
      </c>
      <c r="J1458" s="43">
        <v>0</v>
      </c>
      <c r="K1458" s="1">
        <f t="shared" si="2301"/>
        <v>1650</v>
      </c>
      <c r="L1458" s="43">
        <v>0</v>
      </c>
      <c r="M1458" s="43">
        <v>0</v>
      </c>
      <c r="N1458" s="1">
        <f t="shared" si="2291"/>
        <v>1.5</v>
      </c>
      <c r="O1458" s="1">
        <f t="shared" si="2295"/>
        <v>1650</v>
      </c>
      <c r="P1458" s="31"/>
      <c r="Q1458" s="31"/>
      <c r="R1458" s="31"/>
      <c r="S1458" s="31"/>
      <c r="T1458" s="31"/>
      <c r="U1458" s="31"/>
      <c r="V1458" s="31"/>
      <c r="W1458" s="31"/>
      <c r="X1458" s="31"/>
      <c r="Y1458" s="31"/>
      <c r="Z1458" s="31"/>
      <c r="AA1458" s="31"/>
      <c r="AB1458" s="31"/>
      <c r="AC1458" s="31"/>
      <c r="AD1458" s="31"/>
      <c r="AE1458" s="31"/>
      <c r="AF1458" s="31"/>
      <c r="AG1458" s="31"/>
    </row>
    <row r="1459" spans="1:33" s="32" customFormat="1" ht="15" customHeight="1">
      <c r="A1459" s="37">
        <v>43593</v>
      </c>
      <c r="B1459" s="20" t="s">
        <v>71</v>
      </c>
      <c r="C1459" s="20" t="s">
        <v>47</v>
      </c>
      <c r="D1459" s="20">
        <v>290</v>
      </c>
      <c r="E1459" s="38">
        <v>1500</v>
      </c>
      <c r="F1459" s="20" t="s">
        <v>8</v>
      </c>
      <c r="G1459" s="43">
        <v>16</v>
      </c>
      <c r="H1459" s="43">
        <v>16.25</v>
      </c>
      <c r="I1459" s="43">
        <v>0</v>
      </c>
      <c r="J1459" s="43">
        <v>0</v>
      </c>
      <c r="K1459" s="1">
        <f t="shared" si="2301"/>
        <v>375</v>
      </c>
      <c r="L1459" s="43">
        <v>0</v>
      </c>
      <c r="M1459" s="43">
        <v>0</v>
      </c>
      <c r="N1459" s="1">
        <f t="shared" si="2291"/>
        <v>0.25</v>
      </c>
      <c r="O1459" s="1">
        <f t="shared" si="2295"/>
        <v>375</v>
      </c>
      <c r="P1459" s="31"/>
      <c r="Q1459" s="31"/>
      <c r="R1459" s="31"/>
      <c r="S1459" s="31"/>
      <c r="T1459" s="31"/>
      <c r="U1459" s="31"/>
      <c r="V1459" s="31"/>
      <c r="W1459" s="31"/>
      <c r="X1459" s="31"/>
      <c r="Y1459" s="31"/>
      <c r="Z1459" s="31"/>
      <c r="AA1459" s="31"/>
      <c r="AB1459" s="31"/>
      <c r="AC1459" s="31"/>
      <c r="AD1459" s="31"/>
      <c r="AE1459" s="31"/>
      <c r="AF1459" s="31"/>
      <c r="AG1459" s="31"/>
    </row>
    <row r="1460" spans="1:33" s="32" customFormat="1" ht="15" customHeight="1">
      <c r="A1460" s="37">
        <v>43592</v>
      </c>
      <c r="B1460" s="20" t="s">
        <v>405</v>
      </c>
      <c r="C1460" s="20" t="s">
        <v>46</v>
      </c>
      <c r="D1460" s="20">
        <v>390</v>
      </c>
      <c r="E1460" s="38">
        <v>1300</v>
      </c>
      <c r="F1460" s="20" t="s">
        <v>8</v>
      </c>
      <c r="G1460" s="43">
        <v>27.8</v>
      </c>
      <c r="H1460" s="43">
        <v>29</v>
      </c>
      <c r="I1460" s="43">
        <v>32</v>
      </c>
      <c r="J1460" s="43">
        <v>0</v>
      </c>
      <c r="K1460" s="1">
        <f t="shared" ref="K1460:K1466" si="2302">(IF(F1460="SELL",G1460-H1460,IF(F1460="BUY",H1460-G1460)))*E1460</f>
        <v>1559.9999999999991</v>
      </c>
      <c r="L1460" s="43">
        <f>E1460*3</f>
        <v>3900</v>
      </c>
      <c r="M1460" s="43">
        <v>0</v>
      </c>
      <c r="N1460" s="1">
        <f t="shared" si="2291"/>
        <v>4.1999999999999993</v>
      </c>
      <c r="O1460" s="1">
        <f t="shared" si="2295"/>
        <v>5459.9999999999991</v>
      </c>
      <c r="P1460" s="31"/>
      <c r="Q1460" s="31"/>
      <c r="R1460" s="31"/>
      <c r="S1460" s="31"/>
      <c r="T1460" s="31"/>
      <c r="U1460" s="31"/>
      <c r="V1460" s="31"/>
      <c r="W1460" s="31"/>
      <c r="X1460" s="31"/>
      <c r="Y1460" s="31"/>
      <c r="Z1460" s="31"/>
      <c r="AA1460" s="31"/>
      <c r="AB1460" s="31"/>
      <c r="AC1460" s="31"/>
      <c r="AD1460" s="31"/>
      <c r="AE1460" s="31"/>
      <c r="AF1460" s="31"/>
      <c r="AG1460" s="31"/>
    </row>
    <row r="1461" spans="1:33" s="32" customFormat="1" ht="15" customHeight="1">
      <c r="A1461" s="37">
        <v>43592</v>
      </c>
      <c r="B1461" s="20" t="s">
        <v>72</v>
      </c>
      <c r="C1461" s="20" t="s">
        <v>46</v>
      </c>
      <c r="D1461" s="20">
        <v>380</v>
      </c>
      <c r="E1461" s="38">
        <v>1800</v>
      </c>
      <c r="F1461" s="20" t="s">
        <v>8</v>
      </c>
      <c r="G1461" s="43">
        <v>18</v>
      </c>
      <c r="H1461" s="43">
        <v>20</v>
      </c>
      <c r="I1461" s="43">
        <v>0</v>
      </c>
      <c r="J1461" s="43">
        <v>0</v>
      </c>
      <c r="K1461" s="1">
        <f t="shared" ref="K1461:K1462" si="2303">(IF(F1461="SELL",G1461-H1461,IF(F1461="BUY",H1461-G1461)))*E1461</f>
        <v>3600</v>
      </c>
      <c r="L1461" s="43">
        <v>0</v>
      </c>
      <c r="M1461" s="43">
        <v>0</v>
      </c>
      <c r="N1461" s="1">
        <f t="shared" si="2291"/>
        <v>2</v>
      </c>
      <c r="O1461" s="1">
        <f t="shared" si="2295"/>
        <v>3600</v>
      </c>
      <c r="P1461" s="31"/>
      <c r="Q1461" s="31"/>
      <c r="R1461" s="31"/>
      <c r="S1461" s="31"/>
      <c r="T1461" s="31"/>
      <c r="U1461" s="31"/>
      <c r="V1461" s="31"/>
      <c r="W1461" s="31"/>
      <c r="X1461" s="31"/>
      <c r="Y1461" s="31"/>
      <c r="Z1461" s="31"/>
      <c r="AA1461" s="31"/>
      <c r="AB1461" s="31"/>
      <c r="AC1461" s="31"/>
      <c r="AD1461" s="31"/>
      <c r="AE1461" s="31"/>
      <c r="AF1461" s="31"/>
      <c r="AG1461" s="31"/>
    </row>
    <row r="1462" spans="1:33" s="32" customFormat="1" ht="15" customHeight="1">
      <c r="A1462" s="37">
        <v>43592</v>
      </c>
      <c r="B1462" s="20" t="s">
        <v>343</v>
      </c>
      <c r="C1462" s="20" t="s">
        <v>47</v>
      </c>
      <c r="D1462" s="20">
        <v>480</v>
      </c>
      <c r="E1462" s="38">
        <v>1100</v>
      </c>
      <c r="F1462" s="20" t="s">
        <v>8</v>
      </c>
      <c r="G1462" s="43">
        <v>30</v>
      </c>
      <c r="H1462" s="43">
        <v>32</v>
      </c>
      <c r="I1462" s="43">
        <v>0</v>
      </c>
      <c r="J1462" s="43">
        <v>0</v>
      </c>
      <c r="K1462" s="1">
        <f t="shared" si="2303"/>
        <v>2200</v>
      </c>
      <c r="L1462" s="43">
        <v>0</v>
      </c>
      <c r="M1462" s="43">
        <v>0</v>
      </c>
      <c r="N1462" s="1">
        <f t="shared" si="2291"/>
        <v>2</v>
      </c>
      <c r="O1462" s="1">
        <f t="shared" si="2295"/>
        <v>2200</v>
      </c>
      <c r="P1462" s="31"/>
      <c r="Q1462" s="31"/>
      <c r="R1462" s="31"/>
      <c r="S1462" s="31"/>
      <c r="T1462" s="31"/>
      <c r="U1462" s="31"/>
      <c r="V1462" s="31"/>
      <c r="W1462" s="31"/>
      <c r="X1462" s="31"/>
      <c r="Y1462" s="31"/>
      <c r="Z1462" s="31"/>
      <c r="AA1462" s="31"/>
      <c r="AB1462" s="31"/>
      <c r="AC1462" s="31"/>
      <c r="AD1462" s="31"/>
      <c r="AE1462" s="31"/>
      <c r="AF1462" s="31"/>
      <c r="AG1462" s="31"/>
    </row>
    <row r="1463" spans="1:33" s="32" customFormat="1" ht="15" customHeight="1">
      <c r="A1463" s="37">
        <v>43591</v>
      </c>
      <c r="B1463" s="20" t="s">
        <v>368</v>
      </c>
      <c r="C1463" s="20" t="s">
        <v>46</v>
      </c>
      <c r="D1463" s="20">
        <v>400</v>
      </c>
      <c r="E1463" s="38">
        <v>1300</v>
      </c>
      <c r="F1463" s="20" t="s">
        <v>8</v>
      </c>
      <c r="G1463" s="43">
        <v>26</v>
      </c>
      <c r="H1463" s="43">
        <v>28</v>
      </c>
      <c r="I1463" s="43">
        <v>30</v>
      </c>
      <c r="J1463" s="43">
        <v>0</v>
      </c>
      <c r="K1463" s="1">
        <f>(IF(F1463="SELL",G1463-H1463,IF(F1463="BUY",H1463-G1463)))*E1463</f>
        <v>2600</v>
      </c>
      <c r="L1463" s="43">
        <f>E1463*2</f>
        <v>2600</v>
      </c>
      <c r="M1463" s="43">
        <v>0</v>
      </c>
      <c r="N1463" s="1">
        <f t="shared" si="2291"/>
        <v>4</v>
      </c>
      <c r="O1463" s="1">
        <f t="shared" si="2295"/>
        <v>5200</v>
      </c>
      <c r="P1463" s="31"/>
      <c r="Q1463" s="31"/>
      <c r="R1463" s="31"/>
      <c r="S1463" s="31"/>
      <c r="T1463" s="31"/>
      <c r="U1463" s="31"/>
      <c r="V1463" s="31"/>
      <c r="W1463" s="31"/>
      <c r="X1463" s="31"/>
      <c r="Y1463" s="31"/>
      <c r="Z1463" s="31"/>
      <c r="AA1463" s="31"/>
      <c r="AB1463" s="31"/>
      <c r="AC1463" s="31"/>
      <c r="AD1463" s="31"/>
      <c r="AE1463" s="31"/>
      <c r="AF1463" s="31"/>
      <c r="AG1463" s="31"/>
    </row>
    <row r="1464" spans="1:33" s="32" customFormat="1" ht="15" customHeight="1">
      <c r="A1464" s="37">
        <v>43591</v>
      </c>
      <c r="B1464" s="20" t="s">
        <v>395</v>
      </c>
      <c r="C1464" s="20" t="s">
        <v>47</v>
      </c>
      <c r="D1464" s="20">
        <v>390</v>
      </c>
      <c r="E1464" s="38">
        <v>1800</v>
      </c>
      <c r="F1464" s="20" t="s">
        <v>8</v>
      </c>
      <c r="G1464" s="43">
        <v>18</v>
      </c>
      <c r="H1464" s="43">
        <v>20</v>
      </c>
      <c r="I1464" s="43">
        <v>0</v>
      </c>
      <c r="J1464" s="43">
        <v>0</v>
      </c>
      <c r="K1464" s="1">
        <f t="shared" si="2302"/>
        <v>3600</v>
      </c>
      <c r="L1464" s="43">
        <v>0</v>
      </c>
      <c r="M1464" s="43">
        <v>0</v>
      </c>
      <c r="N1464" s="1">
        <f t="shared" si="2291"/>
        <v>2</v>
      </c>
      <c r="O1464" s="1">
        <f t="shared" si="2295"/>
        <v>3600</v>
      </c>
      <c r="P1464" s="31"/>
      <c r="Q1464" s="31"/>
      <c r="R1464" s="31"/>
      <c r="S1464" s="31"/>
      <c r="T1464" s="31"/>
      <c r="U1464" s="31"/>
      <c r="V1464" s="31"/>
      <c r="W1464" s="31"/>
      <c r="X1464" s="31"/>
      <c r="Y1464" s="31"/>
      <c r="Z1464" s="31"/>
      <c r="AA1464" s="31"/>
      <c r="AB1464" s="31"/>
      <c r="AC1464" s="31"/>
      <c r="AD1464" s="31"/>
      <c r="AE1464" s="31"/>
      <c r="AF1464" s="31"/>
      <c r="AG1464" s="31"/>
    </row>
    <row r="1465" spans="1:33" s="32" customFormat="1" ht="15" customHeight="1">
      <c r="A1465" s="37">
        <v>43591</v>
      </c>
      <c r="B1465" s="20" t="s">
        <v>413</v>
      </c>
      <c r="C1465" s="20" t="s">
        <v>46</v>
      </c>
      <c r="D1465" s="20">
        <v>680</v>
      </c>
      <c r="E1465" s="38">
        <v>500</v>
      </c>
      <c r="F1465" s="20" t="s">
        <v>8</v>
      </c>
      <c r="G1465" s="43">
        <v>52</v>
      </c>
      <c r="H1465" s="43">
        <v>49.7</v>
      </c>
      <c r="I1465" s="43">
        <v>0</v>
      </c>
      <c r="J1465" s="43">
        <v>0</v>
      </c>
      <c r="K1465" s="1">
        <f t="shared" si="2302"/>
        <v>-1149.9999999999986</v>
      </c>
      <c r="L1465" s="43">
        <v>0</v>
      </c>
      <c r="M1465" s="43">
        <v>0</v>
      </c>
      <c r="N1465" s="1">
        <f t="shared" si="2291"/>
        <v>-2.2999999999999972</v>
      </c>
      <c r="O1465" s="1">
        <f t="shared" si="2295"/>
        <v>-1149.9999999999986</v>
      </c>
      <c r="P1465" s="31"/>
      <c r="Q1465" s="31"/>
      <c r="R1465" s="31"/>
      <c r="S1465" s="31"/>
      <c r="T1465" s="31"/>
      <c r="U1465" s="31"/>
      <c r="V1465" s="31"/>
      <c r="W1465" s="31"/>
      <c r="X1465" s="31"/>
      <c r="Y1465" s="31"/>
      <c r="Z1465" s="31"/>
      <c r="AA1465" s="31"/>
      <c r="AB1465" s="31"/>
      <c r="AC1465" s="31"/>
      <c r="AD1465" s="31"/>
      <c r="AE1465" s="31"/>
      <c r="AF1465" s="31"/>
      <c r="AG1465" s="31"/>
    </row>
    <row r="1466" spans="1:33" s="32" customFormat="1" ht="15" customHeight="1">
      <c r="A1466" s="37">
        <v>43591</v>
      </c>
      <c r="B1466" s="20" t="s">
        <v>30</v>
      </c>
      <c r="C1466" s="20" t="s">
        <v>47</v>
      </c>
      <c r="D1466" s="20">
        <v>400</v>
      </c>
      <c r="E1466" s="38">
        <v>1375</v>
      </c>
      <c r="F1466" s="20" t="s">
        <v>8</v>
      </c>
      <c r="G1466" s="43">
        <v>17</v>
      </c>
      <c r="H1466" s="43">
        <v>18.2</v>
      </c>
      <c r="I1466" s="43">
        <v>21</v>
      </c>
      <c r="J1466" s="43">
        <v>0</v>
      </c>
      <c r="K1466" s="1">
        <f t="shared" si="2302"/>
        <v>1649.9999999999991</v>
      </c>
      <c r="L1466" s="43">
        <f>E1466*2.8</f>
        <v>3849.9999999999995</v>
      </c>
      <c r="M1466" s="43">
        <v>0</v>
      </c>
      <c r="N1466" s="1">
        <f t="shared" si="2291"/>
        <v>3.9999999999999987</v>
      </c>
      <c r="O1466" s="1">
        <f t="shared" si="2295"/>
        <v>5499.9999999999982</v>
      </c>
      <c r="P1466" s="31"/>
      <c r="Q1466" s="31"/>
      <c r="R1466" s="31"/>
      <c r="S1466" s="31"/>
      <c r="T1466" s="31"/>
      <c r="U1466" s="31"/>
      <c r="V1466" s="31"/>
      <c r="W1466" s="31"/>
      <c r="X1466" s="31"/>
      <c r="Y1466" s="31"/>
      <c r="Z1466" s="31"/>
      <c r="AA1466" s="31"/>
      <c r="AB1466" s="31"/>
      <c r="AC1466" s="31"/>
      <c r="AD1466" s="31"/>
      <c r="AE1466" s="31"/>
      <c r="AF1466" s="31"/>
      <c r="AG1466" s="31"/>
    </row>
    <row r="1467" spans="1:33" s="32" customFormat="1" ht="15" customHeight="1">
      <c r="A1467" s="37">
        <v>43588</v>
      </c>
      <c r="B1467" s="20" t="s">
        <v>98</v>
      </c>
      <c r="C1467" s="20" t="s">
        <v>46</v>
      </c>
      <c r="D1467" s="20">
        <v>550</v>
      </c>
      <c r="E1467" s="38">
        <v>900</v>
      </c>
      <c r="F1467" s="20" t="s">
        <v>8</v>
      </c>
      <c r="G1467" s="43">
        <v>18.5</v>
      </c>
      <c r="H1467" s="43">
        <v>20.100000000000001</v>
      </c>
      <c r="I1467" s="43">
        <v>0</v>
      </c>
      <c r="J1467" s="43">
        <v>0</v>
      </c>
      <c r="K1467" s="1">
        <f t="shared" ref="K1467:K1470" si="2304">(IF(F1467="SELL",G1467-H1467,IF(F1467="BUY",H1467-G1467)))*E1467</f>
        <v>1440.0000000000014</v>
      </c>
      <c r="L1467" s="43">
        <v>0</v>
      </c>
      <c r="M1467" s="43">
        <v>0</v>
      </c>
      <c r="N1467" s="1">
        <f t="shared" si="2291"/>
        <v>1.6000000000000014</v>
      </c>
      <c r="O1467" s="1">
        <f t="shared" si="2295"/>
        <v>1440.0000000000014</v>
      </c>
      <c r="P1467" s="31"/>
      <c r="Q1467" s="31"/>
      <c r="R1467" s="31"/>
      <c r="S1467" s="31"/>
      <c r="T1467" s="31"/>
      <c r="U1467" s="31"/>
      <c r="V1467" s="31"/>
      <c r="W1467" s="31"/>
      <c r="X1467" s="31"/>
      <c r="Y1467" s="31"/>
      <c r="Z1467" s="31"/>
      <c r="AA1467" s="31"/>
      <c r="AB1467" s="31"/>
      <c r="AC1467" s="31"/>
      <c r="AD1467" s="31"/>
      <c r="AE1467" s="31"/>
      <c r="AF1467" s="31"/>
      <c r="AG1467" s="31"/>
    </row>
    <row r="1468" spans="1:33" s="32" customFormat="1" ht="15" customHeight="1">
      <c r="A1468" s="37">
        <v>43588</v>
      </c>
      <c r="B1468" s="20" t="s">
        <v>38</v>
      </c>
      <c r="C1468" s="20" t="s">
        <v>47</v>
      </c>
      <c r="D1468" s="20">
        <v>6800</v>
      </c>
      <c r="E1468" s="38">
        <v>75</v>
      </c>
      <c r="F1468" s="20" t="s">
        <v>8</v>
      </c>
      <c r="G1468" s="43">
        <v>230</v>
      </c>
      <c r="H1468" s="20">
        <v>224</v>
      </c>
      <c r="I1468" s="43">
        <v>0</v>
      </c>
      <c r="J1468" s="43">
        <v>0</v>
      </c>
      <c r="K1468" s="1">
        <f t="shared" si="2304"/>
        <v>-450</v>
      </c>
      <c r="L1468" s="43">
        <v>0</v>
      </c>
      <c r="M1468" s="43">
        <v>0</v>
      </c>
      <c r="N1468" s="1">
        <f t="shared" si="2291"/>
        <v>-6</v>
      </c>
      <c r="O1468" s="1">
        <f t="shared" si="2295"/>
        <v>-450</v>
      </c>
      <c r="P1468" s="31"/>
      <c r="Q1468" s="31"/>
      <c r="R1468" s="31"/>
      <c r="S1468" s="31"/>
      <c r="T1468" s="31"/>
      <c r="U1468" s="31"/>
      <c r="V1468" s="31"/>
      <c r="W1468" s="31"/>
      <c r="X1468" s="31"/>
      <c r="Y1468" s="31"/>
      <c r="Z1468" s="31"/>
      <c r="AA1468" s="31"/>
      <c r="AB1468" s="31"/>
      <c r="AC1468" s="31"/>
      <c r="AD1468" s="31"/>
      <c r="AE1468" s="31"/>
      <c r="AF1468" s="31"/>
      <c r="AG1468" s="31"/>
    </row>
    <row r="1469" spans="1:33" s="32" customFormat="1" ht="15" customHeight="1">
      <c r="A1469" s="37">
        <v>43588</v>
      </c>
      <c r="B1469" s="20" t="s">
        <v>24</v>
      </c>
      <c r="C1469" s="20" t="s">
        <v>47</v>
      </c>
      <c r="D1469" s="20">
        <v>215</v>
      </c>
      <c r="E1469" s="38">
        <v>2000</v>
      </c>
      <c r="F1469" s="20" t="s">
        <v>8</v>
      </c>
      <c r="G1469" s="43">
        <v>12</v>
      </c>
      <c r="H1469" s="20">
        <v>10.9</v>
      </c>
      <c r="I1469" s="43">
        <v>0</v>
      </c>
      <c r="J1469" s="43">
        <v>0</v>
      </c>
      <c r="K1469" s="1">
        <f t="shared" si="2304"/>
        <v>-2199.9999999999991</v>
      </c>
      <c r="L1469" s="43">
        <v>0</v>
      </c>
      <c r="M1469" s="43">
        <v>0</v>
      </c>
      <c r="N1469" s="1">
        <f t="shared" si="2291"/>
        <v>-1.0999999999999996</v>
      </c>
      <c r="O1469" s="1">
        <f t="shared" si="2295"/>
        <v>-2199.9999999999991</v>
      </c>
      <c r="P1469" s="31"/>
      <c r="Q1469" s="31"/>
      <c r="R1469" s="31"/>
      <c r="S1469" s="31"/>
      <c r="T1469" s="31"/>
      <c r="U1469" s="31"/>
      <c r="V1469" s="31"/>
      <c r="W1469" s="31"/>
      <c r="X1469" s="31"/>
      <c r="Y1469" s="31"/>
      <c r="Z1469" s="31"/>
      <c r="AA1469" s="31"/>
      <c r="AB1469" s="31"/>
      <c r="AC1469" s="31"/>
      <c r="AD1469" s="31"/>
      <c r="AE1469" s="31"/>
      <c r="AF1469" s="31"/>
      <c r="AG1469" s="31"/>
    </row>
    <row r="1470" spans="1:33" s="32" customFormat="1" ht="15" customHeight="1">
      <c r="A1470" s="37">
        <v>43588</v>
      </c>
      <c r="B1470" s="20" t="s">
        <v>415</v>
      </c>
      <c r="C1470" s="20" t="s">
        <v>47</v>
      </c>
      <c r="D1470" s="20">
        <v>2600</v>
      </c>
      <c r="E1470" s="38">
        <v>200</v>
      </c>
      <c r="F1470" s="20" t="s">
        <v>8</v>
      </c>
      <c r="G1470" s="43">
        <v>95</v>
      </c>
      <c r="H1470" s="20">
        <v>81</v>
      </c>
      <c r="I1470" s="43">
        <v>0</v>
      </c>
      <c r="J1470" s="43">
        <v>0</v>
      </c>
      <c r="K1470" s="1">
        <f t="shared" si="2304"/>
        <v>-2800</v>
      </c>
      <c r="L1470" s="43">
        <v>0</v>
      </c>
      <c r="M1470" s="43">
        <v>0</v>
      </c>
      <c r="N1470" s="1">
        <f t="shared" si="2291"/>
        <v>-14</v>
      </c>
      <c r="O1470" s="1">
        <f t="shared" si="2295"/>
        <v>-2800</v>
      </c>
      <c r="P1470" s="31"/>
      <c r="Q1470" s="31"/>
      <c r="R1470" s="31"/>
      <c r="S1470" s="31"/>
      <c r="T1470" s="31"/>
      <c r="U1470" s="31"/>
      <c r="V1470" s="31"/>
      <c r="W1470" s="31"/>
      <c r="X1470" s="31"/>
      <c r="Y1470" s="31"/>
      <c r="Z1470" s="31"/>
      <c r="AA1470" s="31"/>
      <c r="AB1470" s="31"/>
      <c r="AC1470" s="31"/>
      <c r="AD1470" s="31"/>
      <c r="AE1470" s="31"/>
      <c r="AF1470" s="31"/>
      <c r="AG1470" s="31"/>
    </row>
    <row r="1471" spans="1:33" s="32" customFormat="1" ht="15" customHeight="1">
      <c r="A1471" s="37">
        <v>43587</v>
      </c>
      <c r="B1471" s="20" t="s">
        <v>414</v>
      </c>
      <c r="C1471" s="20" t="s">
        <v>47</v>
      </c>
      <c r="D1471" s="20">
        <v>170</v>
      </c>
      <c r="E1471" s="38">
        <v>1750</v>
      </c>
      <c r="F1471" s="20" t="s">
        <v>8</v>
      </c>
      <c r="G1471" s="43">
        <v>18.3</v>
      </c>
      <c r="H1471" s="20">
        <v>20</v>
      </c>
      <c r="I1471" s="43">
        <v>0</v>
      </c>
      <c r="J1471" s="43">
        <v>0</v>
      </c>
      <c r="K1471" s="1">
        <f t="shared" ref="K1471:K1472" si="2305">(IF(F1471="SELL",G1471-H1471,IF(F1471="BUY",H1471-G1471)))*E1471</f>
        <v>2974.9999999999986</v>
      </c>
      <c r="L1471" s="43">
        <v>0</v>
      </c>
      <c r="M1471" s="43">
        <v>0</v>
      </c>
      <c r="N1471" s="1">
        <f t="shared" si="2291"/>
        <v>1.6999999999999993</v>
      </c>
      <c r="O1471" s="1">
        <f t="shared" si="2295"/>
        <v>2974.9999999999986</v>
      </c>
      <c r="P1471" s="31"/>
      <c r="Q1471" s="31"/>
      <c r="R1471" s="31"/>
      <c r="S1471" s="31"/>
      <c r="T1471" s="31"/>
      <c r="U1471" s="31"/>
      <c r="V1471" s="31"/>
      <c r="W1471" s="31"/>
      <c r="X1471" s="31"/>
      <c r="Y1471" s="31"/>
      <c r="Z1471" s="31"/>
      <c r="AA1471" s="31"/>
      <c r="AB1471" s="31"/>
      <c r="AC1471" s="31"/>
      <c r="AD1471" s="31"/>
      <c r="AE1471" s="31"/>
      <c r="AF1471" s="31"/>
      <c r="AG1471" s="31"/>
    </row>
    <row r="1472" spans="1:33" s="32" customFormat="1" ht="15" customHeight="1">
      <c r="A1472" s="37">
        <v>43587</v>
      </c>
      <c r="B1472" s="20" t="s">
        <v>69</v>
      </c>
      <c r="C1472" s="20" t="s">
        <v>46</v>
      </c>
      <c r="D1472" s="20">
        <v>140</v>
      </c>
      <c r="E1472" s="38">
        <v>2850</v>
      </c>
      <c r="F1472" s="20" t="s">
        <v>8</v>
      </c>
      <c r="G1472" s="43">
        <v>8.25</v>
      </c>
      <c r="H1472" s="20">
        <v>7.1</v>
      </c>
      <c r="I1472" s="43">
        <v>0</v>
      </c>
      <c r="J1472" s="43">
        <v>0</v>
      </c>
      <c r="K1472" s="1">
        <f t="shared" si="2305"/>
        <v>-3277.5000000000009</v>
      </c>
      <c r="L1472" s="43">
        <v>0</v>
      </c>
      <c r="M1472" s="43">
        <v>0</v>
      </c>
      <c r="N1472" s="1">
        <f t="shared" si="2291"/>
        <v>-1.1500000000000004</v>
      </c>
      <c r="O1472" s="1">
        <f t="shared" si="2295"/>
        <v>-3277.5000000000009</v>
      </c>
      <c r="P1472" s="31"/>
      <c r="Q1472" s="31"/>
      <c r="R1472" s="31"/>
      <c r="S1472" s="31"/>
      <c r="T1472" s="31"/>
      <c r="U1472" s="31"/>
      <c r="V1472" s="31"/>
      <c r="W1472" s="31"/>
      <c r="X1472" s="31"/>
      <c r="Y1472" s="31"/>
      <c r="Z1472" s="31"/>
      <c r="AA1472" s="31"/>
      <c r="AB1472" s="31"/>
      <c r="AC1472" s="31"/>
      <c r="AD1472" s="31"/>
      <c r="AE1472" s="31"/>
      <c r="AF1472" s="31"/>
      <c r="AG1472" s="31"/>
    </row>
    <row r="1473" spans="1:33" s="32" customFormat="1" ht="15" customHeight="1">
      <c r="A1473" s="37">
        <v>43585</v>
      </c>
      <c r="B1473" s="20" t="s">
        <v>413</v>
      </c>
      <c r="C1473" s="20" t="s">
        <v>46</v>
      </c>
      <c r="D1473" s="20">
        <v>700</v>
      </c>
      <c r="E1473" s="38">
        <v>500</v>
      </c>
      <c r="F1473" s="20" t="s">
        <v>8</v>
      </c>
      <c r="G1473" s="43">
        <v>52</v>
      </c>
      <c r="H1473" s="20">
        <v>55</v>
      </c>
      <c r="I1473" s="43">
        <v>61</v>
      </c>
      <c r="J1473" s="43">
        <v>0</v>
      </c>
      <c r="K1473" s="1">
        <f t="shared" ref="K1473:K1476" si="2306">(IF(F1473="SELL",G1473-H1473,IF(F1473="BUY",H1473-G1473)))*E1473</f>
        <v>1500</v>
      </c>
      <c r="L1473" s="43">
        <f>E1473*6</f>
        <v>3000</v>
      </c>
      <c r="M1473" s="43">
        <v>0</v>
      </c>
      <c r="N1473" s="1">
        <f t="shared" si="2291"/>
        <v>9</v>
      </c>
      <c r="O1473" s="1">
        <f t="shared" si="2295"/>
        <v>4500</v>
      </c>
      <c r="P1473" s="31"/>
      <c r="Q1473" s="31"/>
      <c r="R1473" s="31"/>
      <c r="S1473" s="31"/>
      <c r="T1473" s="31"/>
      <c r="U1473" s="31"/>
      <c r="V1473" s="31"/>
      <c r="W1473" s="31"/>
      <c r="X1473" s="31"/>
      <c r="Y1473" s="31"/>
      <c r="Z1473" s="31"/>
      <c r="AA1473" s="31"/>
      <c r="AB1473" s="31"/>
      <c r="AC1473" s="31"/>
      <c r="AD1473" s="31"/>
      <c r="AE1473" s="31"/>
      <c r="AF1473" s="31"/>
      <c r="AG1473" s="31"/>
    </row>
    <row r="1474" spans="1:33" s="32" customFormat="1" ht="15" customHeight="1">
      <c r="A1474" s="37">
        <v>43585</v>
      </c>
      <c r="B1474" s="20" t="s">
        <v>72</v>
      </c>
      <c r="C1474" s="20" t="s">
        <v>46</v>
      </c>
      <c r="D1474" s="20">
        <v>370</v>
      </c>
      <c r="E1474" s="38">
        <v>1800</v>
      </c>
      <c r="F1474" s="20" t="s">
        <v>8</v>
      </c>
      <c r="G1474" s="43">
        <v>13</v>
      </c>
      <c r="H1474" s="20">
        <v>14.5</v>
      </c>
      <c r="I1474" s="43">
        <v>0</v>
      </c>
      <c r="J1474" s="43">
        <v>0</v>
      </c>
      <c r="K1474" s="1">
        <f t="shared" si="2306"/>
        <v>2700</v>
      </c>
      <c r="L1474" s="43">
        <v>0</v>
      </c>
      <c r="M1474" s="43">
        <v>0</v>
      </c>
      <c r="N1474" s="1">
        <f t="shared" si="2291"/>
        <v>1.5</v>
      </c>
      <c r="O1474" s="1">
        <f t="shared" si="2295"/>
        <v>2700</v>
      </c>
      <c r="P1474" s="31"/>
      <c r="Q1474" s="31"/>
      <c r="R1474" s="31"/>
      <c r="S1474" s="31"/>
      <c r="T1474" s="31"/>
      <c r="U1474" s="31"/>
      <c r="V1474" s="31"/>
      <c r="W1474" s="31"/>
      <c r="X1474" s="31"/>
      <c r="Y1474" s="31"/>
      <c r="Z1474" s="31"/>
      <c r="AA1474" s="31"/>
      <c r="AB1474" s="31"/>
      <c r="AC1474" s="31"/>
      <c r="AD1474" s="31"/>
      <c r="AE1474" s="31"/>
      <c r="AF1474" s="31"/>
      <c r="AG1474" s="31"/>
    </row>
    <row r="1475" spans="1:33" s="32" customFormat="1" ht="15" customHeight="1">
      <c r="A1475" s="37">
        <v>43585</v>
      </c>
      <c r="B1475" s="20" t="s">
        <v>21</v>
      </c>
      <c r="C1475" s="20" t="s">
        <v>46</v>
      </c>
      <c r="D1475" s="20">
        <v>305</v>
      </c>
      <c r="E1475" s="38">
        <v>3000</v>
      </c>
      <c r="F1475" s="20" t="s">
        <v>8</v>
      </c>
      <c r="G1475" s="43">
        <v>11.5</v>
      </c>
      <c r="H1475" s="20">
        <v>10.6</v>
      </c>
      <c r="I1475" s="43">
        <v>0</v>
      </c>
      <c r="J1475" s="43">
        <v>0</v>
      </c>
      <c r="K1475" s="1">
        <f t="shared" si="2306"/>
        <v>-2700.0000000000009</v>
      </c>
      <c r="L1475" s="43">
        <v>0</v>
      </c>
      <c r="M1475" s="43">
        <v>0</v>
      </c>
      <c r="N1475" s="1">
        <f t="shared" si="2291"/>
        <v>-0.90000000000000036</v>
      </c>
      <c r="O1475" s="1">
        <f t="shared" si="2295"/>
        <v>-2700.0000000000009</v>
      </c>
      <c r="P1475" s="31"/>
      <c r="Q1475" s="31"/>
      <c r="R1475" s="31"/>
      <c r="S1475" s="31"/>
      <c r="T1475" s="31"/>
      <c r="U1475" s="31"/>
      <c r="V1475" s="31"/>
      <c r="W1475" s="31"/>
      <c r="X1475" s="31"/>
      <c r="Y1475" s="31"/>
      <c r="Z1475" s="31"/>
      <c r="AA1475" s="31"/>
      <c r="AB1475" s="31"/>
      <c r="AC1475" s="31"/>
      <c r="AD1475" s="31"/>
      <c r="AE1475" s="31"/>
      <c r="AF1475" s="31"/>
      <c r="AG1475" s="31"/>
    </row>
    <row r="1476" spans="1:33" s="32" customFormat="1" ht="15" customHeight="1">
      <c r="A1476" s="37">
        <v>43585</v>
      </c>
      <c r="B1476" s="20" t="s">
        <v>26</v>
      </c>
      <c r="C1476" s="20" t="s">
        <v>47</v>
      </c>
      <c r="D1476" s="20">
        <v>550</v>
      </c>
      <c r="E1476" s="38">
        <v>1061</v>
      </c>
      <c r="F1476" s="20" t="s">
        <v>8</v>
      </c>
      <c r="G1476" s="43">
        <v>22.5</v>
      </c>
      <c r="H1476" s="20">
        <v>25</v>
      </c>
      <c r="I1476" s="43">
        <v>0</v>
      </c>
      <c r="J1476" s="43">
        <v>0</v>
      </c>
      <c r="K1476" s="1">
        <f t="shared" si="2306"/>
        <v>2652.5</v>
      </c>
      <c r="L1476" s="43">
        <v>0</v>
      </c>
      <c r="M1476" s="43">
        <v>0</v>
      </c>
      <c r="N1476" s="1">
        <f t="shared" si="2291"/>
        <v>2.5</v>
      </c>
      <c r="O1476" s="1">
        <f t="shared" si="2295"/>
        <v>2652.5</v>
      </c>
      <c r="P1476" s="31"/>
      <c r="Q1476" s="31"/>
      <c r="R1476" s="31"/>
      <c r="S1476" s="31"/>
      <c r="T1476" s="31"/>
      <c r="U1476" s="31"/>
      <c r="V1476" s="31"/>
      <c r="W1476" s="31"/>
      <c r="X1476" s="31"/>
      <c r="Y1476" s="31"/>
      <c r="Z1476" s="31"/>
      <c r="AA1476" s="31"/>
      <c r="AB1476" s="31"/>
      <c r="AC1476" s="31"/>
      <c r="AD1476" s="31"/>
      <c r="AE1476" s="31"/>
      <c r="AF1476" s="31"/>
      <c r="AG1476" s="31"/>
    </row>
    <row r="1477" spans="1:33" s="32" customFormat="1" ht="15" customHeight="1">
      <c r="A1477" s="37">
        <v>43581</v>
      </c>
      <c r="B1477" s="20" t="s">
        <v>30</v>
      </c>
      <c r="C1477" s="20" t="s">
        <v>46</v>
      </c>
      <c r="D1477" s="20">
        <v>400</v>
      </c>
      <c r="E1477" s="38">
        <v>2750</v>
      </c>
      <c r="F1477" s="20" t="s">
        <v>8</v>
      </c>
      <c r="G1477" s="43">
        <v>16.5</v>
      </c>
      <c r="H1477" s="20">
        <v>17.5</v>
      </c>
      <c r="I1477" s="43">
        <v>0</v>
      </c>
      <c r="J1477" s="43">
        <v>0</v>
      </c>
      <c r="K1477" s="1">
        <f t="shared" ref="K1477:K1478" si="2307">(IF(F1477="SELL",G1477-H1477,IF(F1477="BUY",H1477-G1477)))*E1477</f>
        <v>2750</v>
      </c>
      <c r="L1477" s="43">
        <v>0</v>
      </c>
      <c r="M1477" s="43">
        <v>0</v>
      </c>
      <c r="N1477" s="1">
        <f t="shared" si="2291"/>
        <v>1</v>
      </c>
      <c r="O1477" s="1">
        <f t="shared" si="2295"/>
        <v>2750</v>
      </c>
      <c r="P1477" s="31"/>
      <c r="Q1477" s="31"/>
      <c r="R1477" s="31"/>
      <c r="S1477" s="31"/>
      <c r="T1477" s="31"/>
      <c r="U1477" s="31"/>
      <c r="V1477" s="31"/>
      <c r="W1477" s="31"/>
      <c r="X1477" s="31"/>
      <c r="Y1477" s="31"/>
      <c r="Z1477" s="31"/>
      <c r="AA1477" s="31"/>
      <c r="AB1477" s="31"/>
      <c r="AC1477" s="31"/>
      <c r="AD1477" s="31"/>
      <c r="AE1477" s="31"/>
      <c r="AF1477" s="31"/>
      <c r="AG1477" s="31"/>
    </row>
    <row r="1478" spans="1:33" s="32" customFormat="1" ht="15" customHeight="1">
      <c r="A1478" s="37">
        <v>43581</v>
      </c>
      <c r="B1478" s="20" t="s">
        <v>20</v>
      </c>
      <c r="C1478" s="20" t="s">
        <v>47</v>
      </c>
      <c r="D1478" s="20">
        <v>740</v>
      </c>
      <c r="E1478" s="38">
        <v>1200</v>
      </c>
      <c r="F1478" s="20" t="s">
        <v>8</v>
      </c>
      <c r="G1478" s="43">
        <v>20</v>
      </c>
      <c r="H1478" s="20">
        <v>21.2</v>
      </c>
      <c r="I1478" s="43">
        <v>0</v>
      </c>
      <c r="J1478" s="43">
        <v>0</v>
      </c>
      <c r="K1478" s="1">
        <f t="shared" si="2307"/>
        <v>1439.9999999999991</v>
      </c>
      <c r="L1478" s="43">
        <v>0</v>
      </c>
      <c r="M1478" s="43">
        <v>0</v>
      </c>
      <c r="N1478" s="1">
        <f t="shared" si="2291"/>
        <v>1.1999999999999993</v>
      </c>
      <c r="O1478" s="1">
        <f t="shared" si="2295"/>
        <v>1439.9999999999991</v>
      </c>
      <c r="P1478" s="31"/>
      <c r="Q1478" s="31"/>
      <c r="R1478" s="31"/>
      <c r="S1478" s="31"/>
      <c r="T1478" s="31"/>
      <c r="U1478" s="31"/>
      <c r="V1478" s="31"/>
      <c r="W1478" s="31"/>
      <c r="X1478" s="31"/>
      <c r="Y1478" s="31"/>
      <c r="Z1478" s="31"/>
      <c r="AA1478" s="31"/>
      <c r="AB1478" s="31"/>
      <c r="AC1478" s="31"/>
      <c r="AD1478" s="31"/>
      <c r="AE1478" s="31"/>
      <c r="AF1478" s="31"/>
      <c r="AG1478" s="31"/>
    </row>
    <row r="1479" spans="1:33" s="32" customFormat="1" ht="15" customHeight="1">
      <c r="A1479" s="37">
        <v>43580</v>
      </c>
      <c r="B1479" s="20" t="s">
        <v>412</v>
      </c>
      <c r="C1479" s="20" t="s">
        <v>47</v>
      </c>
      <c r="D1479" s="20">
        <v>4500</v>
      </c>
      <c r="E1479" s="38">
        <v>200</v>
      </c>
      <c r="F1479" s="20" t="s">
        <v>8</v>
      </c>
      <c r="G1479" s="43">
        <v>60</v>
      </c>
      <c r="H1479" s="20">
        <v>68</v>
      </c>
      <c r="I1479" s="43">
        <v>85</v>
      </c>
      <c r="J1479" s="43">
        <v>0</v>
      </c>
      <c r="K1479" s="1">
        <f t="shared" ref="K1479:K1480" si="2308">(IF(F1479="SELL",G1479-H1479,IF(F1479="BUY",H1479-G1479)))*E1479</f>
        <v>1600</v>
      </c>
      <c r="L1479" s="43">
        <f>E1479*17</f>
        <v>3400</v>
      </c>
      <c r="M1479" s="43">
        <v>0</v>
      </c>
      <c r="N1479" s="1">
        <f t="shared" si="2291"/>
        <v>25</v>
      </c>
      <c r="O1479" s="1">
        <f t="shared" si="2295"/>
        <v>5000</v>
      </c>
      <c r="P1479" s="31"/>
      <c r="Q1479" s="31"/>
      <c r="R1479" s="31"/>
      <c r="S1479" s="31"/>
      <c r="T1479" s="31"/>
      <c r="U1479" s="31"/>
      <c r="V1479" s="31"/>
      <c r="W1479" s="31"/>
      <c r="X1479" s="31"/>
      <c r="Y1479" s="31"/>
      <c r="Z1479" s="31"/>
      <c r="AA1479" s="31"/>
      <c r="AB1479" s="31"/>
      <c r="AC1479" s="31"/>
      <c r="AD1479" s="31"/>
      <c r="AE1479" s="31"/>
      <c r="AF1479" s="31"/>
      <c r="AG1479" s="31"/>
    </row>
    <row r="1480" spans="1:33" s="32" customFormat="1" ht="15" customHeight="1">
      <c r="A1480" s="37">
        <v>43580</v>
      </c>
      <c r="B1480" s="20" t="s">
        <v>411</v>
      </c>
      <c r="C1480" s="20" t="s">
        <v>47</v>
      </c>
      <c r="D1480" s="20">
        <v>250</v>
      </c>
      <c r="E1480" s="38">
        <v>1750</v>
      </c>
      <c r="F1480" s="20" t="s">
        <v>8</v>
      </c>
      <c r="G1480" s="43">
        <v>1.75</v>
      </c>
      <c r="H1480" s="20">
        <v>0.5</v>
      </c>
      <c r="I1480" s="43">
        <v>0</v>
      </c>
      <c r="J1480" s="43">
        <v>0</v>
      </c>
      <c r="K1480" s="1">
        <f t="shared" si="2308"/>
        <v>-2187.5</v>
      </c>
      <c r="L1480" s="43">
        <v>0</v>
      </c>
      <c r="M1480" s="43">
        <v>0</v>
      </c>
      <c r="N1480" s="1">
        <f t="shared" si="2291"/>
        <v>-1.25</v>
      </c>
      <c r="O1480" s="1">
        <f t="shared" si="2295"/>
        <v>-2187.5</v>
      </c>
      <c r="P1480" s="31"/>
      <c r="Q1480" s="31"/>
      <c r="R1480" s="31"/>
      <c r="S1480" s="31"/>
      <c r="T1480" s="31"/>
      <c r="U1480" s="31"/>
      <c r="V1480" s="31"/>
      <c r="W1480" s="31"/>
      <c r="X1480" s="31"/>
      <c r="Y1480" s="31"/>
      <c r="Z1480" s="31"/>
      <c r="AA1480" s="31"/>
      <c r="AB1480" s="31"/>
      <c r="AC1480" s="31"/>
      <c r="AD1480" s="31"/>
      <c r="AE1480" s="31"/>
      <c r="AF1480" s="31"/>
      <c r="AG1480" s="31"/>
    </row>
    <row r="1481" spans="1:33" s="32" customFormat="1" ht="15" customHeight="1">
      <c r="A1481" s="37">
        <v>43579</v>
      </c>
      <c r="B1481" s="20" t="s">
        <v>395</v>
      </c>
      <c r="C1481" s="20" t="s">
        <v>47</v>
      </c>
      <c r="D1481" s="20">
        <v>340</v>
      </c>
      <c r="E1481" s="38">
        <v>1800</v>
      </c>
      <c r="F1481" s="20" t="s">
        <v>8</v>
      </c>
      <c r="G1481" s="43">
        <v>7.5</v>
      </c>
      <c r="H1481" s="20">
        <v>8.5</v>
      </c>
      <c r="I1481" s="43">
        <v>10.199999999999999</v>
      </c>
      <c r="J1481" s="43">
        <v>0</v>
      </c>
      <c r="K1481" s="1">
        <f t="shared" ref="K1481:K1483" si="2309">(IF(F1481="SELL",G1481-H1481,IF(F1481="BUY",H1481-G1481)))*E1481</f>
        <v>1800</v>
      </c>
      <c r="L1481" s="43">
        <f>E1481*1.7</f>
        <v>3060</v>
      </c>
      <c r="M1481" s="43">
        <v>0</v>
      </c>
      <c r="N1481" s="1">
        <f t="shared" si="2291"/>
        <v>2.7</v>
      </c>
      <c r="O1481" s="1">
        <f t="shared" si="2295"/>
        <v>4860</v>
      </c>
      <c r="P1481" s="31"/>
      <c r="Q1481" s="31"/>
      <c r="R1481" s="31"/>
      <c r="S1481" s="31"/>
      <c r="T1481" s="31"/>
      <c r="U1481" s="31"/>
      <c r="V1481" s="31"/>
      <c r="W1481" s="31"/>
      <c r="X1481" s="31"/>
      <c r="Y1481" s="31"/>
      <c r="Z1481" s="31"/>
      <c r="AA1481" s="31"/>
      <c r="AB1481" s="31"/>
      <c r="AC1481" s="31"/>
      <c r="AD1481" s="31"/>
      <c r="AE1481" s="31"/>
      <c r="AF1481" s="31"/>
      <c r="AG1481" s="31"/>
    </row>
    <row r="1482" spans="1:33" s="32" customFormat="1" ht="15" customHeight="1">
      <c r="A1482" s="37">
        <v>43579</v>
      </c>
      <c r="B1482" s="20" t="s">
        <v>131</v>
      </c>
      <c r="C1482" s="20" t="s">
        <v>46</v>
      </c>
      <c r="D1482" s="20">
        <v>220</v>
      </c>
      <c r="E1482" s="38">
        <v>2500</v>
      </c>
      <c r="F1482" s="20" t="s">
        <v>8</v>
      </c>
      <c r="G1482" s="43">
        <v>2.2000000000000002</v>
      </c>
      <c r="H1482" s="20">
        <v>3.5</v>
      </c>
      <c r="I1482" s="43">
        <v>0</v>
      </c>
      <c r="J1482" s="43">
        <v>0</v>
      </c>
      <c r="K1482" s="1">
        <f t="shared" si="2309"/>
        <v>3249.9999999999995</v>
      </c>
      <c r="L1482" s="43">
        <v>0</v>
      </c>
      <c r="M1482" s="43">
        <v>0</v>
      </c>
      <c r="N1482" s="1">
        <f t="shared" si="2291"/>
        <v>1.2999999999999998</v>
      </c>
      <c r="O1482" s="1">
        <f t="shared" si="2295"/>
        <v>3249.9999999999995</v>
      </c>
      <c r="P1482" s="31"/>
      <c r="Q1482" s="31"/>
      <c r="R1482" s="31"/>
      <c r="S1482" s="31"/>
      <c r="T1482" s="31"/>
      <c r="U1482" s="31"/>
      <c r="V1482" s="31"/>
      <c r="W1482" s="31"/>
      <c r="X1482" s="31"/>
      <c r="Y1482" s="31"/>
      <c r="Z1482" s="31"/>
      <c r="AA1482" s="31"/>
      <c r="AB1482" s="31"/>
      <c r="AC1482" s="31"/>
      <c r="AD1482" s="31"/>
      <c r="AE1482" s="31"/>
      <c r="AF1482" s="31"/>
      <c r="AG1482" s="31"/>
    </row>
    <row r="1483" spans="1:33" s="32" customFormat="1" ht="15" customHeight="1">
      <c r="A1483" s="37">
        <v>43579</v>
      </c>
      <c r="B1483" s="20" t="s">
        <v>24</v>
      </c>
      <c r="C1483" s="20" t="s">
        <v>46</v>
      </c>
      <c r="D1483" s="20">
        <v>220</v>
      </c>
      <c r="E1483" s="38">
        <v>2000</v>
      </c>
      <c r="F1483" s="20" t="s">
        <v>8</v>
      </c>
      <c r="G1483" s="43">
        <v>4</v>
      </c>
      <c r="H1483" s="20">
        <v>2.8</v>
      </c>
      <c r="I1483" s="43">
        <v>0</v>
      </c>
      <c r="J1483" s="43">
        <v>0</v>
      </c>
      <c r="K1483" s="1">
        <f t="shared" si="2309"/>
        <v>-2400.0000000000005</v>
      </c>
      <c r="L1483" s="43">
        <v>0</v>
      </c>
      <c r="M1483" s="43">
        <v>0</v>
      </c>
      <c r="N1483" s="1">
        <f t="shared" si="2291"/>
        <v>-1.2000000000000002</v>
      </c>
      <c r="O1483" s="1">
        <f t="shared" si="2295"/>
        <v>-2400.0000000000005</v>
      </c>
      <c r="P1483" s="31"/>
      <c r="Q1483" s="31"/>
      <c r="R1483" s="31"/>
      <c r="S1483" s="31"/>
      <c r="T1483" s="31"/>
      <c r="U1483" s="31"/>
      <c r="V1483" s="31"/>
      <c r="W1483" s="31"/>
      <c r="X1483" s="31"/>
      <c r="Y1483" s="31"/>
      <c r="Z1483" s="31"/>
      <c r="AA1483" s="31"/>
      <c r="AB1483" s="31"/>
      <c r="AC1483" s="31"/>
      <c r="AD1483" s="31"/>
      <c r="AE1483" s="31"/>
      <c r="AF1483" s="31"/>
      <c r="AG1483" s="31"/>
    </row>
    <row r="1484" spans="1:33" s="32" customFormat="1" ht="15" customHeight="1">
      <c r="A1484" s="37">
        <v>43579</v>
      </c>
      <c r="B1484" s="20" t="s">
        <v>410</v>
      </c>
      <c r="C1484" s="20" t="s">
        <v>46</v>
      </c>
      <c r="D1484" s="20">
        <v>1460</v>
      </c>
      <c r="E1484" s="38">
        <v>600</v>
      </c>
      <c r="F1484" s="20" t="s">
        <v>8</v>
      </c>
      <c r="G1484" s="43">
        <v>21</v>
      </c>
      <c r="H1484" s="20">
        <v>23.5</v>
      </c>
      <c r="I1484" s="43">
        <v>0</v>
      </c>
      <c r="J1484" s="43">
        <v>0</v>
      </c>
      <c r="K1484" s="1">
        <f t="shared" ref="K1484" si="2310">(IF(F1484="SELL",G1484-H1484,IF(F1484="BUY",H1484-G1484)))*E1484</f>
        <v>1500</v>
      </c>
      <c r="L1484" s="43">
        <v>0</v>
      </c>
      <c r="M1484" s="43">
        <v>0</v>
      </c>
      <c r="N1484" s="1">
        <f t="shared" si="2291"/>
        <v>2.5</v>
      </c>
      <c r="O1484" s="1">
        <f t="shared" si="2295"/>
        <v>1500</v>
      </c>
      <c r="P1484" s="31"/>
      <c r="Q1484" s="31"/>
      <c r="R1484" s="31"/>
      <c r="S1484" s="31"/>
      <c r="T1484" s="31"/>
      <c r="U1484" s="31"/>
      <c r="V1484" s="31"/>
      <c r="W1484" s="31"/>
      <c r="X1484" s="31"/>
      <c r="Y1484" s="31"/>
      <c r="Z1484" s="31"/>
      <c r="AA1484" s="31"/>
      <c r="AB1484" s="31"/>
      <c r="AC1484" s="31"/>
      <c r="AD1484" s="31"/>
      <c r="AE1484" s="31"/>
      <c r="AF1484" s="31"/>
      <c r="AG1484" s="31"/>
    </row>
    <row r="1485" spans="1:33" s="32" customFormat="1" ht="15" customHeight="1">
      <c r="A1485" s="37">
        <v>43578</v>
      </c>
      <c r="B1485" s="20" t="s">
        <v>77</v>
      </c>
      <c r="C1485" s="20" t="s">
        <v>46</v>
      </c>
      <c r="D1485" s="20">
        <v>335</v>
      </c>
      <c r="E1485" s="38">
        <v>2667</v>
      </c>
      <c r="F1485" s="20" t="s">
        <v>8</v>
      </c>
      <c r="G1485" s="43">
        <v>5</v>
      </c>
      <c r="H1485" s="20">
        <v>2</v>
      </c>
      <c r="I1485" s="43">
        <v>0</v>
      </c>
      <c r="J1485" s="43">
        <v>0</v>
      </c>
      <c r="K1485" s="1">
        <f t="shared" ref="K1485" si="2311">(IF(F1485="SELL",G1485-H1485,IF(F1485="BUY",H1485-G1485)))*E1485</f>
        <v>-8001</v>
      </c>
      <c r="L1485" s="43">
        <v>0</v>
      </c>
      <c r="M1485" s="43">
        <v>0</v>
      </c>
      <c r="N1485" s="1">
        <f t="shared" si="2291"/>
        <v>-3</v>
      </c>
      <c r="O1485" s="1">
        <f t="shared" si="2295"/>
        <v>-8001</v>
      </c>
      <c r="P1485" s="31"/>
      <c r="Q1485" s="31"/>
      <c r="R1485" s="31"/>
      <c r="S1485" s="31"/>
      <c r="T1485" s="31"/>
      <c r="U1485" s="31"/>
      <c r="V1485" s="31"/>
      <c r="W1485" s="31"/>
      <c r="X1485" s="31"/>
      <c r="Y1485" s="31"/>
      <c r="Z1485" s="31"/>
      <c r="AA1485" s="31"/>
      <c r="AB1485" s="31"/>
      <c r="AC1485" s="31"/>
      <c r="AD1485" s="31"/>
      <c r="AE1485" s="31"/>
      <c r="AF1485" s="31"/>
      <c r="AG1485" s="31"/>
    </row>
    <row r="1486" spans="1:33" s="32" customFormat="1" ht="15" customHeight="1">
      <c r="A1486" s="37">
        <v>43577</v>
      </c>
      <c r="B1486" s="20" t="s">
        <v>63</v>
      </c>
      <c r="C1486" s="20" t="s">
        <v>46</v>
      </c>
      <c r="D1486" s="20">
        <v>250</v>
      </c>
      <c r="E1486" s="38">
        <v>2100</v>
      </c>
      <c r="F1486" s="20" t="s">
        <v>8</v>
      </c>
      <c r="G1486" s="43">
        <v>4.5</v>
      </c>
      <c r="H1486" s="20">
        <v>6</v>
      </c>
      <c r="I1486" s="43">
        <v>0</v>
      </c>
      <c r="J1486" s="43">
        <v>0</v>
      </c>
      <c r="K1486" s="1">
        <f t="shared" ref="K1486:K1487" si="2312">(IF(F1486="SELL",G1486-H1486,IF(F1486="BUY",H1486-G1486)))*E1486</f>
        <v>3150</v>
      </c>
      <c r="L1486" s="43">
        <v>0</v>
      </c>
      <c r="M1486" s="43">
        <v>0</v>
      </c>
      <c r="N1486" s="1">
        <f t="shared" si="2291"/>
        <v>1.5</v>
      </c>
      <c r="O1486" s="1">
        <f t="shared" si="2295"/>
        <v>3150</v>
      </c>
      <c r="P1486" s="31"/>
      <c r="Q1486" s="31"/>
      <c r="R1486" s="31"/>
      <c r="S1486" s="31"/>
      <c r="T1486" s="31"/>
      <c r="U1486" s="31"/>
      <c r="V1486" s="31"/>
      <c r="W1486" s="31"/>
      <c r="X1486" s="31"/>
      <c r="Y1486" s="31"/>
      <c r="Z1486" s="31"/>
      <c r="AA1486" s="31"/>
      <c r="AB1486" s="31"/>
      <c r="AC1486" s="31"/>
      <c r="AD1486" s="31"/>
      <c r="AE1486" s="31"/>
      <c r="AF1486" s="31"/>
      <c r="AG1486" s="31"/>
    </row>
    <row r="1487" spans="1:33" s="32" customFormat="1" ht="15" customHeight="1">
      <c r="A1487" s="37">
        <v>43577</v>
      </c>
      <c r="B1487" s="20" t="s">
        <v>408</v>
      </c>
      <c r="C1487" s="20" t="s">
        <v>46</v>
      </c>
      <c r="D1487" s="20">
        <v>270</v>
      </c>
      <c r="E1487" s="38">
        <v>2000</v>
      </c>
      <c r="F1487" s="20" t="s">
        <v>8</v>
      </c>
      <c r="G1487" s="43">
        <v>2.9</v>
      </c>
      <c r="H1487" s="20">
        <v>2.6</v>
      </c>
      <c r="I1487" s="43">
        <v>0</v>
      </c>
      <c r="J1487" s="43">
        <v>0</v>
      </c>
      <c r="K1487" s="1">
        <f t="shared" si="2312"/>
        <v>-599.99999999999966</v>
      </c>
      <c r="L1487" s="43">
        <v>0</v>
      </c>
      <c r="M1487" s="43">
        <v>0</v>
      </c>
      <c r="N1487" s="1">
        <f t="shared" si="2291"/>
        <v>-0.29999999999999982</v>
      </c>
      <c r="O1487" s="1">
        <f t="shared" si="2295"/>
        <v>-599.99999999999966</v>
      </c>
      <c r="P1487" s="31"/>
      <c r="Q1487" s="31"/>
      <c r="R1487" s="31"/>
      <c r="S1487" s="31"/>
      <c r="T1487" s="31"/>
      <c r="U1487" s="31"/>
      <c r="V1487" s="31"/>
      <c r="W1487" s="31"/>
      <c r="X1487" s="31"/>
      <c r="Y1487" s="31"/>
      <c r="Z1487" s="31"/>
      <c r="AA1487" s="31"/>
      <c r="AB1487" s="31"/>
      <c r="AC1487" s="31"/>
      <c r="AD1487" s="31"/>
      <c r="AE1487" s="31"/>
      <c r="AF1487" s="31"/>
      <c r="AG1487" s="31"/>
    </row>
    <row r="1488" spans="1:33" s="32" customFormat="1" ht="15" customHeight="1">
      <c r="A1488" s="37">
        <v>43573</v>
      </c>
      <c r="B1488" s="20" t="s">
        <v>21</v>
      </c>
      <c r="C1488" s="20" t="s">
        <v>46</v>
      </c>
      <c r="D1488" s="20">
        <v>310</v>
      </c>
      <c r="E1488" s="38">
        <v>3000</v>
      </c>
      <c r="F1488" s="20" t="s">
        <v>8</v>
      </c>
      <c r="G1488" s="43">
        <v>4</v>
      </c>
      <c r="H1488" s="20">
        <v>5</v>
      </c>
      <c r="I1488" s="43">
        <v>0</v>
      </c>
      <c r="J1488" s="43">
        <v>0</v>
      </c>
      <c r="K1488" s="1">
        <f t="shared" ref="K1488:K1489" si="2313">(IF(F1488="SELL",G1488-H1488,IF(F1488="BUY",H1488-G1488)))*E1488</f>
        <v>3000</v>
      </c>
      <c r="L1488" s="43">
        <v>0</v>
      </c>
      <c r="M1488" s="43">
        <v>0</v>
      </c>
      <c r="N1488" s="1">
        <f t="shared" si="2291"/>
        <v>1</v>
      </c>
      <c r="O1488" s="1">
        <f t="shared" si="2295"/>
        <v>3000</v>
      </c>
      <c r="P1488" s="31"/>
      <c r="Q1488" s="31"/>
      <c r="R1488" s="31"/>
      <c r="S1488" s="31"/>
      <c r="T1488" s="31"/>
      <c r="U1488" s="31"/>
      <c r="V1488" s="31"/>
      <c r="W1488" s="31"/>
      <c r="X1488" s="31"/>
      <c r="Y1488" s="31"/>
      <c r="Z1488" s="31"/>
      <c r="AA1488" s="31"/>
      <c r="AB1488" s="31"/>
      <c r="AC1488" s="31"/>
      <c r="AD1488" s="31"/>
      <c r="AE1488" s="31"/>
      <c r="AF1488" s="31"/>
      <c r="AG1488" s="31"/>
    </row>
    <row r="1489" spans="1:33" s="32" customFormat="1" ht="15" customHeight="1">
      <c r="A1489" s="37">
        <v>43573</v>
      </c>
      <c r="B1489" s="20" t="s">
        <v>410</v>
      </c>
      <c r="C1489" s="20" t="s">
        <v>47</v>
      </c>
      <c r="D1489" s="20">
        <v>1640</v>
      </c>
      <c r="E1489" s="38">
        <v>600</v>
      </c>
      <c r="F1489" s="20" t="s">
        <v>8</v>
      </c>
      <c r="G1489" s="43">
        <v>39</v>
      </c>
      <c r="H1489" s="20">
        <v>29</v>
      </c>
      <c r="I1489" s="43">
        <v>0</v>
      </c>
      <c r="J1489" s="43">
        <v>0</v>
      </c>
      <c r="K1489" s="1">
        <f t="shared" si="2313"/>
        <v>-6000</v>
      </c>
      <c r="L1489" s="43">
        <v>0</v>
      </c>
      <c r="M1489" s="43">
        <v>0</v>
      </c>
      <c r="N1489" s="1">
        <f t="shared" si="2291"/>
        <v>-10</v>
      </c>
      <c r="O1489" s="1">
        <f t="shared" si="2295"/>
        <v>-6000</v>
      </c>
      <c r="P1489" s="31"/>
      <c r="Q1489" s="31"/>
      <c r="R1489" s="31"/>
      <c r="S1489" s="31"/>
      <c r="T1489" s="31"/>
      <c r="U1489" s="31"/>
      <c r="V1489" s="31"/>
      <c r="W1489" s="31"/>
      <c r="X1489" s="31"/>
      <c r="Y1489" s="31"/>
      <c r="Z1489" s="31"/>
      <c r="AA1489" s="31"/>
      <c r="AB1489" s="31"/>
      <c r="AC1489" s="31"/>
      <c r="AD1489" s="31"/>
      <c r="AE1489" s="31"/>
      <c r="AF1489" s="31"/>
      <c r="AG1489" s="31"/>
    </row>
    <row r="1490" spans="1:33" s="32" customFormat="1" ht="15" customHeight="1">
      <c r="A1490" s="37">
        <v>43571</v>
      </c>
      <c r="B1490" s="20" t="s">
        <v>30</v>
      </c>
      <c r="C1490" s="20" t="s">
        <v>47</v>
      </c>
      <c r="D1490" s="20">
        <v>400</v>
      </c>
      <c r="E1490" s="38">
        <v>2750</v>
      </c>
      <c r="F1490" s="20" t="s">
        <v>8</v>
      </c>
      <c r="G1490" s="43">
        <v>8.5</v>
      </c>
      <c r="H1490" s="20">
        <v>9.5</v>
      </c>
      <c r="I1490" s="43">
        <v>11</v>
      </c>
      <c r="J1490" s="43">
        <v>0</v>
      </c>
      <c r="K1490" s="1">
        <f t="shared" ref="K1490:K1491" si="2314">(IF(F1490="SELL",G1490-H1490,IF(F1490="BUY",H1490-G1490)))*E1490</f>
        <v>2750</v>
      </c>
      <c r="L1490" s="43">
        <f>E1490*1.5</f>
        <v>4125</v>
      </c>
      <c r="M1490" s="43">
        <v>0</v>
      </c>
      <c r="N1490" s="1">
        <f t="shared" si="2291"/>
        <v>2.5</v>
      </c>
      <c r="O1490" s="1">
        <f t="shared" si="2295"/>
        <v>6875</v>
      </c>
      <c r="P1490" s="31"/>
      <c r="Q1490" s="31"/>
      <c r="R1490" s="31"/>
      <c r="S1490" s="31"/>
      <c r="T1490" s="31"/>
      <c r="U1490" s="31"/>
      <c r="V1490" s="31"/>
      <c r="W1490" s="31"/>
      <c r="X1490" s="31"/>
      <c r="Y1490" s="31"/>
      <c r="Z1490" s="31"/>
      <c r="AA1490" s="31"/>
      <c r="AB1490" s="31"/>
      <c r="AC1490" s="31"/>
      <c r="AD1490" s="31"/>
      <c r="AE1490" s="31"/>
      <c r="AF1490" s="31"/>
      <c r="AG1490" s="31"/>
    </row>
    <row r="1491" spans="1:33" s="32" customFormat="1" ht="15" customHeight="1">
      <c r="A1491" s="37">
        <v>43571</v>
      </c>
      <c r="B1491" s="20" t="s">
        <v>63</v>
      </c>
      <c r="C1491" s="20" t="s">
        <v>47</v>
      </c>
      <c r="D1491" s="20">
        <v>260</v>
      </c>
      <c r="E1491" s="38">
        <v>2100</v>
      </c>
      <c r="F1491" s="20" t="s">
        <v>8</v>
      </c>
      <c r="G1491" s="43">
        <v>7.5</v>
      </c>
      <c r="H1491" s="20">
        <v>9</v>
      </c>
      <c r="I1491" s="43">
        <v>0</v>
      </c>
      <c r="J1491" s="43">
        <v>0</v>
      </c>
      <c r="K1491" s="1">
        <f t="shared" si="2314"/>
        <v>3150</v>
      </c>
      <c r="L1491" s="43">
        <v>0</v>
      </c>
      <c r="M1491" s="43">
        <v>0</v>
      </c>
      <c r="N1491" s="1">
        <f t="shared" si="2291"/>
        <v>1.5</v>
      </c>
      <c r="O1491" s="1">
        <f t="shared" si="2295"/>
        <v>3150</v>
      </c>
      <c r="P1491" s="31"/>
      <c r="Q1491" s="31"/>
      <c r="R1491" s="31"/>
      <c r="S1491" s="31"/>
      <c r="T1491" s="31"/>
      <c r="U1491" s="31"/>
      <c r="V1491" s="31"/>
      <c r="W1491" s="31"/>
      <c r="X1491" s="31"/>
      <c r="Y1491" s="31"/>
      <c r="Z1491" s="31"/>
      <c r="AA1491" s="31"/>
      <c r="AB1491" s="31"/>
      <c r="AC1491" s="31"/>
      <c r="AD1491" s="31"/>
      <c r="AE1491" s="31"/>
      <c r="AF1491" s="31"/>
      <c r="AG1491" s="31"/>
    </row>
    <row r="1492" spans="1:33" s="32" customFormat="1" ht="15" customHeight="1">
      <c r="A1492" s="37">
        <v>43570</v>
      </c>
      <c r="B1492" s="20" t="s">
        <v>28</v>
      </c>
      <c r="C1492" s="20" t="s">
        <v>46</v>
      </c>
      <c r="D1492" s="20">
        <v>340</v>
      </c>
      <c r="E1492" s="38">
        <v>1700</v>
      </c>
      <c r="F1492" s="20" t="s">
        <v>8</v>
      </c>
      <c r="G1492" s="43">
        <v>10.5</v>
      </c>
      <c r="H1492" s="20">
        <v>12</v>
      </c>
      <c r="I1492" s="43">
        <v>0</v>
      </c>
      <c r="J1492" s="43">
        <v>0</v>
      </c>
      <c r="K1492" s="1">
        <f t="shared" ref="K1492" si="2315">(IF(F1492="SELL",G1492-H1492,IF(F1492="BUY",H1492-G1492)))*E1492</f>
        <v>2550</v>
      </c>
      <c r="L1492" s="43">
        <v>0</v>
      </c>
      <c r="M1492" s="43">
        <v>0</v>
      </c>
      <c r="N1492" s="1">
        <f t="shared" si="2291"/>
        <v>1.5</v>
      </c>
      <c r="O1492" s="1">
        <f t="shared" si="2295"/>
        <v>2550</v>
      </c>
      <c r="P1492" s="31"/>
      <c r="Q1492" s="31"/>
      <c r="R1492" s="31"/>
      <c r="S1492" s="31"/>
      <c r="T1492" s="31"/>
      <c r="U1492" s="31"/>
      <c r="V1492" s="31"/>
      <c r="W1492" s="31"/>
      <c r="X1492" s="31"/>
      <c r="Y1492" s="31"/>
      <c r="Z1492" s="31"/>
      <c r="AA1492" s="31"/>
      <c r="AB1492" s="31"/>
      <c r="AC1492" s="31"/>
      <c r="AD1492" s="31"/>
      <c r="AE1492" s="31"/>
      <c r="AF1492" s="31"/>
      <c r="AG1492" s="31"/>
    </row>
    <row r="1493" spans="1:33" s="32" customFormat="1" ht="15" customHeight="1">
      <c r="A1493" s="37">
        <v>43567</v>
      </c>
      <c r="B1493" s="20" t="s">
        <v>72</v>
      </c>
      <c r="C1493" s="20" t="s">
        <v>47</v>
      </c>
      <c r="D1493" s="20">
        <v>370</v>
      </c>
      <c r="E1493" s="38">
        <v>1800</v>
      </c>
      <c r="F1493" s="20" t="s">
        <v>8</v>
      </c>
      <c r="G1493" s="43">
        <v>9</v>
      </c>
      <c r="H1493" s="20">
        <v>0</v>
      </c>
      <c r="I1493" s="43">
        <v>0</v>
      </c>
      <c r="J1493" s="43">
        <v>0</v>
      </c>
      <c r="K1493" s="1">
        <v>0</v>
      </c>
      <c r="L1493" s="43">
        <v>0</v>
      </c>
      <c r="M1493" s="43">
        <v>0</v>
      </c>
      <c r="N1493" s="1">
        <f t="shared" ref="N1493:N1556" si="2316">(L1493+K1493+M1493)/E1493</f>
        <v>0</v>
      </c>
      <c r="O1493" s="1">
        <f t="shared" si="2295"/>
        <v>0</v>
      </c>
      <c r="P1493" s="31"/>
      <c r="Q1493" s="31"/>
      <c r="R1493" s="31"/>
      <c r="S1493" s="31"/>
      <c r="T1493" s="31"/>
      <c r="U1493" s="31"/>
      <c r="V1493" s="31"/>
      <c r="W1493" s="31"/>
      <c r="X1493" s="31"/>
      <c r="Y1493" s="31"/>
      <c r="Z1493" s="31"/>
      <c r="AA1493" s="31"/>
      <c r="AB1493" s="31"/>
      <c r="AC1493" s="31"/>
      <c r="AD1493" s="31"/>
      <c r="AE1493" s="31"/>
      <c r="AF1493" s="31"/>
      <c r="AG1493" s="31"/>
    </row>
    <row r="1494" spans="1:33" s="32" customFormat="1" ht="15" customHeight="1">
      <c r="A1494" s="37">
        <v>43566</v>
      </c>
      <c r="B1494" s="20" t="s">
        <v>28</v>
      </c>
      <c r="C1494" s="20" t="s">
        <v>47</v>
      </c>
      <c r="D1494" s="20">
        <v>350</v>
      </c>
      <c r="E1494" s="38">
        <v>1700</v>
      </c>
      <c r="F1494" s="20" t="s">
        <v>8</v>
      </c>
      <c r="G1494" s="43">
        <v>8</v>
      </c>
      <c r="H1494" s="20">
        <v>10</v>
      </c>
      <c r="I1494" s="43">
        <v>0</v>
      </c>
      <c r="J1494" s="43">
        <v>0</v>
      </c>
      <c r="K1494" s="1">
        <f t="shared" ref="K1494" si="2317">(IF(F1494="SELL",G1494-H1494,IF(F1494="BUY",H1494-G1494)))*E1494</f>
        <v>3400</v>
      </c>
      <c r="L1494" s="43">
        <v>0</v>
      </c>
      <c r="M1494" s="43">
        <v>0</v>
      </c>
      <c r="N1494" s="1">
        <f t="shared" si="2316"/>
        <v>2</v>
      </c>
      <c r="O1494" s="1">
        <f t="shared" si="2295"/>
        <v>3400</v>
      </c>
      <c r="P1494" s="31"/>
      <c r="Q1494" s="31"/>
      <c r="R1494" s="31"/>
      <c r="S1494" s="31"/>
      <c r="T1494" s="31"/>
      <c r="U1494" s="31"/>
      <c r="V1494" s="31"/>
      <c r="W1494" s="31"/>
      <c r="X1494" s="31"/>
      <c r="Y1494" s="31"/>
      <c r="Z1494" s="31"/>
      <c r="AA1494" s="31"/>
      <c r="AB1494" s="31"/>
      <c r="AC1494" s="31"/>
      <c r="AD1494" s="31"/>
      <c r="AE1494" s="31"/>
      <c r="AF1494" s="31"/>
      <c r="AG1494" s="31"/>
    </row>
    <row r="1495" spans="1:33" s="32" customFormat="1" ht="15" customHeight="1">
      <c r="A1495" s="37">
        <v>43566</v>
      </c>
      <c r="B1495" s="20" t="s">
        <v>107</v>
      </c>
      <c r="C1495" s="20" t="s">
        <v>47</v>
      </c>
      <c r="D1495" s="20">
        <v>470</v>
      </c>
      <c r="E1495" s="38">
        <v>1100</v>
      </c>
      <c r="F1495" s="20" t="s">
        <v>8</v>
      </c>
      <c r="G1495" s="43">
        <v>11.5</v>
      </c>
      <c r="H1495" s="20">
        <v>0</v>
      </c>
      <c r="I1495" s="43">
        <v>0</v>
      </c>
      <c r="J1495" s="43">
        <v>0</v>
      </c>
      <c r="K1495" s="1">
        <v>0</v>
      </c>
      <c r="L1495" s="43">
        <v>0</v>
      </c>
      <c r="M1495" s="43">
        <v>0</v>
      </c>
      <c r="N1495" s="1">
        <f t="shared" si="2316"/>
        <v>0</v>
      </c>
      <c r="O1495" s="1">
        <f t="shared" si="2295"/>
        <v>0</v>
      </c>
      <c r="P1495" s="31"/>
      <c r="Q1495" s="31"/>
      <c r="R1495" s="31"/>
      <c r="S1495" s="31"/>
      <c r="T1495" s="31"/>
      <c r="U1495" s="31"/>
      <c r="V1495" s="31"/>
      <c r="W1495" s="31"/>
      <c r="X1495" s="31"/>
      <c r="Y1495" s="31"/>
      <c r="Z1495" s="31"/>
      <c r="AA1495" s="31"/>
      <c r="AB1495" s="31"/>
      <c r="AC1495" s="31"/>
      <c r="AD1495" s="31"/>
      <c r="AE1495" s="31"/>
      <c r="AF1495" s="31"/>
      <c r="AG1495" s="31"/>
    </row>
    <row r="1496" spans="1:33" s="32" customFormat="1" ht="15" customHeight="1">
      <c r="A1496" s="37">
        <v>43565</v>
      </c>
      <c r="B1496" s="20" t="s">
        <v>21</v>
      </c>
      <c r="C1496" s="20" t="s">
        <v>47</v>
      </c>
      <c r="D1496" s="20">
        <v>320</v>
      </c>
      <c r="E1496" s="38">
        <v>3000</v>
      </c>
      <c r="F1496" s="20" t="s">
        <v>8</v>
      </c>
      <c r="G1496" s="43">
        <v>7</v>
      </c>
      <c r="H1496" s="20">
        <v>5</v>
      </c>
      <c r="I1496" s="43">
        <v>0</v>
      </c>
      <c r="J1496" s="43">
        <v>0</v>
      </c>
      <c r="K1496" s="1">
        <f t="shared" ref="K1496" si="2318">(IF(F1496="SELL",G1496-H1496,IF(F1496="BUY",H1496-G1496)))*E1496</f>
        <v>-6000</v>
      </c>
      <c r="L1496" s="43">
        <v>0</v>
      </c>
      <c r="M1496" s="43">
        <v>0</v>
      </c>
      <c r="N1496" s="1">
        <f t="shared" si="2316"/>
        <v>-2</v>
      </c>
      <c r="O1496" s="1">
        <f t="shared" si="2295"/>
        <v>-6000</v>
      </c>
      <c r="P1496" s="31"/>
      <c r="Q1496" s="31"/>
      <c r="R1496" s="31"/>
      <c r="S1496" s="31"/>
      <c r="T1496" s="31"/>
      <c r="U1496" s="31"/>
      <c r="V1496" s="31"/>
      <c r="W1496" s="31"/>
      <c r="X1496" s="31"/>
      <c r="Y1496" s="31"/>
      <c r="Z1496" s="31"/>
      <c r="AA1496" s="31"/>
      <c r="AB1496" s="31"/>
      <c r="AC1496" s="31"/>
      <c r="AD1496" s="31"/>
      <c r="AE1496" s="31"/>
      <c r="AF1496" s="31"/>
      <c r="AG1496" s="31"/>
    </row>
    <row r="1497" spans="1:33" s="32" customFormat="1" ht="15" customHeight="1">
      <c r="A1497" s="37">
        <v>43564</v>
      </c>
      <c r="B1497" s="20" t="s">
        <v>408</v>
      </c>
      <c r="C1497" s="20" t="s">
        <v>47</v>
      </c>
      <c r="D1497" s="20">
        <v>280</v>
      </c>
      <c r="E1497" s="38">
        <v>2000</v>
      </c>
      <c r="F1497" s="20" t="s">
        <v>8</v>
      </c>
      <c r="G1497" s="43">
        <v>9.3000000000000007</v>
      </c>
      <c r="H1497" s="20">
        <v>10.5</v>
      </c>
      <c r="I1497" s="43">
        <v>13</v>
      </c>
      <c r="J1497" s="43">
        <v>15</v>
      </c>
      <c r="K1497" s="1">
        <f t="shared" ref="K1497" si="2319">(IF(F1497="SELL",G1497-H1497,IF(F1497="BUY",H1497-G1497)))*E1497</f>
        <v>2399.9999999999986</v>
      </c>
      <c r="L1497" s="43">
        <f>E1497*2.5</f>
        <v>5000</v>
      </c>
      <c r="M1497" s="43">
        <f>E1497*2</f>
        <v>4000</v>
      </c>
      <c r="N1497" s="1">
        <f t="shared" si="2316"/>
        <v>5.6999999999999993</v>
      </c>
      <c r="O1497" s="1">
        <f t="shared" si="2295"/>
        <v>11399.999999999998</v>
      </c>
      <c r="P1497" s="31"/>
      <c r="Q1497" s="31"/>
      <c r="R1497" s="31"/>
      <c r="S1497" s="31"/>
      <c r="T1497" s="31"/>
      <c r="U1497" s="31"/>
      <c r="V1497" s="31"/>
      <c r="W1497" s="31"/>
      <c r="X1497" s="31"/>
      <c r="Y1497" s="31"/>
      <c r="Z1497" s="31"/>
      <c r="AA1497" s="31"/>
      <c r="AB1497" s="31"/>
      <c r="AC1497" s="31"/>
      <c r="AD1497" s="31"/>
      <c r="AE1497" s="31"/>
      <c r="AF1497" s="31"/>
      <c r="AG1497" s="31"/>
    </row>
    <row r="1498" spans="1:33" s="32" customFormat="1" ht="15" customHeight="1">
      <c r="A1498" s="37">
        <v>43563</v>
      </c>
      <c r="B1498" s="20" t="s">
        <v>107</v>
      </c>
      <c r="C1498" s="20" t="s">
        <v>46</v>
      </c>
      <c r="D1498" s="20">
        <v>460</v>
      </c>
      <c r="E1498" s="38">
        <v>1100</v>
      </c>
      <c r="F1498" s="20" t="s">
        <v>8</v>
      </c>
      <c r="G1498" s="43">
        <v>9.5</v>
      </c>
      <c r="H1498" s="20">
        <v>0</v>
      </c>
      <c r="I1498" s="43">
        <v>0</v>
      </c>
      <c r="J1498" s="43">
        <v>0</v>
      </c>
      <c r="K1498" s="1">
        <v>0</v>
      </c>
      <c r="L1498" s="43">
        <v>0</v>
      </c>
      <c r="M1498" s="43">
        <v>0</v>
      </c>
      <c r="N1498" s="1">
        <f t="shared" si="2316"/>
        <v>0</v>
      </c>
      <c r="O1498" s="1">
        <f t="shared" si="2295"/>
        <v>0</v>
      </c>
      <c r="P1498" s="31"/>
      <c r="Q1498" s="31"/>
      <c r="R1498" s="31"/>
      <c r="S1498" s="31"/>
      <c r="T1498" s="31"/>
      <c r="U1498" s="31"/>
      <c r="V1498" s="31"/>
      <c r="W1498" s="31"/>
      <c r="X1498" s="31"/>
      <c r="Y1498" s="31"/>
      <c r="Z1498" s="31"/>
      <c r="AA1498" s="31"/>
      <c r="AB1498" s="31"/>
      <c r="AC1498" s="31"/>
      <c r="AD1498" s="31"/>
      <c r="AE1498" s="31"/>
      <c r="AF1498" s="31"/>
      <c r="AG1498" s="31"/>
    </row>
    <row r="1499" spans="1:33" s="32" customFormat="1" ht="15" customHeight="1">
      <c r="A1499" s="37">
        <v>43560</v>
      </c>
      <c r="B1499" s="20" t="s">
        <v>69</v>
      </c>
      <c r="C1499" s="20" t="s">
        <v>47</v>
      </c>
      <c r="D1499" s="20">
        <v>155</v>
      </c>
      <c r="E1499" s="38">
        <v>2850</v>
      </c>
      <c r="F1499" s="20" t="s">
        <v>8</v>
      </c>
      <c r="G1499" s="43">
        <v>6.3</v>
      </c>
      <c r="H1499" s="20">
        <v>0</v>
      </c>
      <c r="I1499" s="43">
        <v>0</v>
      </c>
      <c r="J1499" s="43">
        <v>0</v>
      </c>
      <c r="K1499" s="1">
        <v>0</v>
      </c>
      <c r="L1499" s="43">
        <v>0</v>
      </c>
      <c r="M1499" s="43">
        <v>0</v>
      </c>
      <c r="N1499" s="1">
        <f t="shared" si="2316"/>
        <v>0</v>
      </c>
      <c r="O1499" s="1">
        <f t="shared" si="2295"/>
        <v>0</v>
      </c>
      <c r="P1499" s="31"/>
      <c r="Q1499" s="31"/>
      <c r="R1499" s="31"/>
      <c r="S1499" s="31"/>
      <c r="T1499" s="31"/>
      <c r="U1499" s="31"/>
      <c r="V1499" s="31"/>
      <c r="W1499" s="31"/>
      <c r="X1499" s="31"/>
      <c r="Y1499" s="31"/>
      <c r="Z1499" s="31"/>
      <c r="AA1499" s="31"/>
      <c r="AB1499" s="31"/>
      <c r="AC1499" s="31"/>
      <c r="AD1499" s="31"/>
      <c r="AE1499" s="31"/>
      <c r="AF1499" s="31"/>
      <c r="AG1499" s="31"/>
    </row>
    <row r="1500" spans="1:33" s="32" customFormat="1" ht="15" customHeight="1">
      <c r="A1500" s="37">
        <v>43559</v>
      </c>
      <c r="B1500" s="20" t="s">
        <v>34</v>
      </c>
      <c r="C1500" s="20" t="s">
        <v>46</v>
      </c>
      <c r="D1500" s="20">
        <v>210</v>
      </c>
      <c r="E1500" s="38">
        <v>3500</v>
      </c>
      <c r="F1500" s="20" t="s">
        <v>8</v>
      </c>
      <c r="G1500" s="43">
        <v>5.5</v>
      </c>
      <c r="H1500" s="20">
        <v>6.05</v>
      </c>
      <c r="I1500" s="43">
        <v>0</v>
      </c>
      <c r="J1500" s="43">
        <v>0</v>
      </c>
      <c r="K1500" s="1">
        <f t="shared" ref="K1500:K1501" si="2320">(IF(F1500="SELL",G1500-H1500,IF(F1500="BUY",H1500-G1500)))*E1500</f>
        <v>1924.9999999999993</v>
      </c>
      <c r="L1500" s="43">
        <v>0</v>
      </c>
      <c r="M1500" s="43">
        <v>0</v>
      </c>
      <c r="N1500" s="1">
        <f t="shared" si="2316"/>
        <v>0.54999999999999982</v>
      </c>
      <c r="O1500" s="1">
        <f t="shared" si="2295"/>
        <v>1924.9999999999993</v>
      </c>
      <c r="P1500" s="31"/>
      <c r="Q1500" s="31"/>
      <c r="R1500" s="31"/>
      <c r="S1500" s="31"/>
      <c r="T1500" s="31"/>
      <c r="U1500" s="31"/>
      <c r="V1500" s="31"/>
      <c r="W1500" s="31"/>
      <c r="X1500" s="31"/>
      <c r="Y1500" s="31"/>
      <c r="Z1500" s="31"/>
      <c r="AA1500" s="31"/>
      <c r="AB1500" s="31"/>
      <c r="AC1500" s="31"/>
      <c r="AD1500" s="31"/>
      <c r="AE1500" s="31"/>
      <c r="AF1500" s="31"/>
      <c r="AG1500" s="31"/>
    </row>
    <row r="1501" spans="1:33" s="32" customFormat="1" ht="15" customHeight="1">
      <c r="A1501" s="37">
        <v>43559</v>
      </c>
      <c r="B1501" s="20" t="s">
        <v>20</v>
      </c>
      <c r="C1501" s="20" t="s">
        <v>46</v>
      </c>
      <c r="D1501" s="20">
        <v>740</v>
      </c>
      <c r="E1501" s="38">
        <v>1200</v>
      </c>
      <c r="F1501" s="20" t="s">
        <v>8</v>
      </c>
      <c r="G1501" s="43">
        <v>18</v>
      </c>
      <c r="H1501" s="20">
        <v>16.850000000000001</v>
      </c>
      <c r="I1501" s="43">
        <v>0</v>
      </c>
      <c r="J1501" s="43">
        <v>0</v>
      </c>
      <c r="K1501" s="1">
        <f t="shared" si="2320"/>
        <v>-1379.9999999999982</v>
      </c>
      <c r="L1501" s="43">
        <v>0</v>
      </c>
      <c r="M1501" s="43">
        <v>0</v>
      </c>
      <c r="N1501" s="1">
        <f t="shared" si="2316"/>
        <v>-1.1499999999999986</v>
      </c>
      <c r="O1501" s="1">
        <f t="shared" si="2295"/>
        <v>-1379.9999999999982</v>
      </c>
      <c r="P1501" s="31"/>
      <c r="Q1501" s="31"/>
      <c r="R1501" s="31"/>
      <c r="S1501" s="31"/>
      <c r="T1501" s="31"/>
      <c r="U1501" s="31"/>
      <c r="V1501" s="31"/>
      <c r="W1501" s="31"/>
      <c r="X1501" s="31"/>
      <c r="Y1501" s="31"/>
      <c r="Z1501" s="31"/>
      <c r="AA1501" s="31"/>
      <c r="AB1501" s="31"/>
      <c r="AC1501" s="31"/>
      <c r="AD1501" s="31"/>
      <c r="AE1501" s="31"/>
      <c r="AF1501" s="31"/>
      <c r="AG1501" s="31"/>
    </row>
    <row r="1502" spans="1:33" s="32" customFormat="1" ht="15" customHeight="1">
      <c r="A1502" s="37">
        <v>43558</v>
      </c>
      <c r="B1502" s="20" t="s">
        <v>355</v>
      </c>
      <c r="C1502" s="20" t="s">
        <v>47</v>
      </c>
      <c r="D1502" s="20">
        <v>260</v>
      </c>
      <c r="E1502" s="38">
        <v>1800</v>
      </c>
      <c r="F1502" s="20" t="s">
        <v>8</v>
      </c>
      <c r="G1502" s="43">
        <v>15.5</v>
      </c>
      <c r="H1502" s="20">
        <v>17.5</v>
      </c>
      <c r="I1502" s="43">
        <v>0</v>
      </c>
      <c r="J1502" s="43">
        <v>0</v>
      </c>
      <c r="K1502" s="1">
        <f t="shared" ref="K1502" si="2321">(IF(F1502="SELL",G1502-H1502,IF(F1502="BUY",H1502-G1502)))*E1502</f>
        <v>3600</v>
      </c>
      <c r="L1502" s="43">
        <v>0</v>
      </c>
      <c r="M1502" s="43">
        <v>0</v>
      </c>
      <c r="N1502" s="1">
        <f t="shared" si="2316"/>
        <v>2</v>
      </c>
      <c r="O1502" s="1">
        <f t="shared" si="2295"/>
        <v>3600</v>
      </c>
      <c r="P1502" s="31"/>
      <c r="Q1502" s="31"/>
      <c r="R1502" s="31"/>
      <c r="S1502" s="31"/>
      <c r="T1502" s="31"/>
      <c r="U1502" s="31"/>
      <c r="V1502" s="31"/>
      <c r="W1502" s="31"/>
      <c r="X1502" s="31"/>
      <c r="Y1502" s="31"/>
      <c r="Z1502" s="31"/>
      <c r="AA1502" s="31"/>
      <c r="AB1502" s="31"/>
      <c r="AC1502" s="31"/>
      <c r="AD1502" s="31"/>
      <c r="AE1502" s="31"/>
      <c r="AF1502" s="31"/>
      <c r="AG1502" s="31"/>
    </row>
    <row r="1503" spans="1:33" s="32" customFormat="1" ht="15" customHeight="1">
      <c r="A1503" s="37">
        <v>43558</v>
      </c>
      <c r="B1503" s="20" t="s">
        <v>63</v>
      </c>
      <c r="C1503" s="20" t="s">
        <v>46</v>
      </c>
      <c r="D1503" s="20">
        <v>260</v>
      </c>
      <c r="E1503" s="38">
        <v>2100</v>
      </c>
      <c r="F1503" s="20" t="s">
        <v>8</v>
      </c>
      <c r="G1503" s="43">
        <v>7</v>
      </c>
      <c r="H1503" s="20">
        <v>8.25</v>
      </c>
      <c r="I1503" s="43">
        <v>0</v>
      </c>
      <c r="J1503" s="43">
        <v>0</v>
      </c>
      <c r="K1503" s="1">
        <f>(IF(F1503="SELL",G1503-H1503,IF(F1503="BUY",H1503-G1503)))*E1503</f>
        <v>2625</v>
      </c>
      <c r="L1503" s="43">
        <v>0</v>
      </c>
      <c r="M1503" s="43">
        <v>0</v>
      </c>
      <c r="N1503" s="1">
        <f t="shared" si="2316"/>
        <v>1.25</v>
      </c>
      <c r="O1503" s="1">
        <f t="shared" si="2295"/>
        <v>2625</v>
      </c>
      <c r="P1503" s="31"/>
      <c r="Q1503" s="31"/>
      <c r="R1503" s="31"/>
      <c r="S1503" s="31"/>
      <c r="T1503" s="31"/>
      <c r="U1503" s="31"/>
      <c r="V1503" s="31"/>
      <c r="W1503" s="31"/>
      <c r="X1503" s="31"/>
      <c r="Y1503" s="31"/>
      <c r="Z1503" s="31"/>
      <c r="AA1503" s="31"/>
      <c r="AB1503" s="31"/>
      <c r="AC1503" s="31"/>
      <c r="AD1503" s="31"/>
      <c r="AE1503" s="31"/>
      <c r="AF1503" s="31"/>
      <c r="AG1503" s="31"/>
    </row>
    <row r="1504" spans="1:33" s="32" customFormat="1" ht="15" customHeight="1">
      <c r="A1504" s="37">
        <v>43557</v>
      </c>
      <c r="B1504" s="20" t="s">
        <v>80</v>
      </c>
      <c r="C1504" s="20" t="s">
        <v>47</v>
      </c>
      <c r="D1504" s="20">
        <v>370</v>
      </c>
      <c r="E1504" s="38">
        <v>1500</v>
      </c>
      <c r="F1504" s="20" t="s">
        <v>8</v>
      </c>
      <c r="G1504" s="43">
        <v>15.5</v>
      </c>
      <c r="H1504" s="20">
        <v>17</v>
      </c>
      <c r="I1504" s="43">
        <v>19</v>
      </c>
      <c r="J1504" s="43">
        <v>0</v>
      </c>
      <c r="K1504" s="1">
        <f t="shared" ref="K1504:K1505" si="2322">(IF(F1504="SELL",G1504-H1504,IF(F1504="BUY",H1504-G1504)))*E1504</f>
        <v>2250</v>
      </c>
      <c r="L1504" s="43">
        <f>E1504*2</f>
        <v>3000</v>
      </c>
      <c r="M1504" s="43">
        <v>0</v>
      </c>
      <c r="N1504" s="1">
        <f t="shared" si="2316"/>
        <v>3.5</v>
      </c>
      <c r="O1504" s="1">
        <f t="shared" ref="O1504:O1567" si="2323">N1504*E1504</f>
        <v>5250</v>
      </c>
      <c r="P1504" s="31"/>
      <c r="Q1504" s="31"/>
      <c r="R1504" s="31"/>
      <c r="S1504" s="31"/>
      <c r="T1504" s="31"/>
      <c r="U1504" s="31"/>
      <c r="V1504" s="31"/>
      <c r="W1504" s="31"/>
      <c r="X1504" s="31"/>
      <c r="Y1504" s="31"/>
      <c r="Z1504" s="31"/>
      <c r="AA1504" s="31"/>
      <c r="AB1504" s="31"/>
      <c r="AC1504" s="31"/>
      <c r="AD1504" s="31"/>
      <c r="AE1504" s="31"/>
      <c r="AF1504" s="31"/>
      <c r="AG1504" s="31"/>
    </row>
    <row r="1505" spans="1:33" s="32" customFormat="1" ht="15" customHeight="1">
      <c r="A1505" s="37">
        <v>43557</v>
      </c>
      <c r="B1505" s="20" t="s">
        <v>21</v>
      </c>
      <c r="C1505" s="20" t="s">
        <v>47</v>
      </c>
      <c r="D1505" s="20">
        <v>330</v>
      </c>
      <c r="E1505" s="38">
        <v>3000</v>
      </c>
      <c r="F1505" s="20" t="s">
        <v>8</v>
      </c>
      <c r="G1505" s="43">
        <v>10.5</v>
      </c>
      <c r="H1505" s="20">
        <v>9.0500000000000007</v>
      </c>
      <c r="I1505" s="43">
        <v>0</v>
      </c>
      <c r="J1505" s="43">
        <v>0</v>
      </c>
      <c r="K1505" s="1">
        <f t="shared" si="2322"/>
        <v>-4349.9999999999982</v>
      </c>
      <c r="L1505" s="43">
        <v>0</v>
      </c>
      <c r="M1505" s="43">
        <v>0</v>
      </c>
      <c r="N1505" s="1">
        <f t="shared" si="2316"/>
        <v>-1.4499999999999993</v>
      </c>
      <c r="O1505" s="1">
        <f t="shared" si="2323"/>
        <v>-4349.9999999999982</v>
      </c>
      <c r="P1505" s="31"/>
      <c r="Q1505" s="31"/>
      <c r="R1505" s="31"/>
      <c r="S1505" s="31"/>
      <c r="T1505" s="31"/>
      <c r="U1505" s="31"/>
      <c r="V1505" s="31"/>
      <c r="W1505" s="31"/>
      <c r="X1505" s="31"/>
      <c r="Y1505" s="31"/>
      <c r="Z1505" s="31"/>
      <c r="AA1505" s="31"/>
      <c r="AB1505" s="31"/>
      <c r="AC1505" s="31"/>
      <c r="AD1505" s="31"/>
      <c r="AE1505" s="31"/>
      <c r="AF1505" s="31"/>
      <c r="AG1505" s="31"/>
    </row>
    <row r="1506" spans="1:33" s="32" customFormat="1" ht="15" customHeight="1">
      <c r="A1506" s="37">
        <v>43556</v>
      </c>
      <c r="B1506" s="20" t="s">
        <v>34</v>
      </c>
      <c r="C1506" s="20" t="s">
        <v>47</v>
      </c>
      <c r="D1506" s="20">
        <v>210</v>
      </c>
      <c r="E1506" s="38">
        <v>3500</v>
      </c>
      <c r="F1506" s="20" t="s">
        <v>8</v>
      </c>
      <c r="G1506" s="43">
        <v>9</v>
      </c>
      <c r="H1506" s="20">
        <v>10</v>
      </c>
      <c r="I1506" s="43">
        <v>11</v>
      </c>
      <c r="J1506" s="43">
        <v>13</v>
      </c>
      <c r="K1506" s="1">
        <f>(IF(F1506="SELL",G1506-H1506,IF(F1506="BUY",H1506-G1506)))*E1506</f>
        <v>3500</v>
      </c>
      <c r="L1506" s="43">
        <f>E1506*1</f>
        <v>3500</v>
      </c>
      <c r="M1506" s="43">
        <f>E1506*2</f>
        <v>7000</v>
      </c>
      <c r="N1506" s="1">
        <f t="shared" si="2316"/>
        <v>4</v>
      </c>
      <c r="O1506" s="1">
        <f t="shared" si="2323"/>
        <v>14000</v>
      </c>
      <c r="P1506" s="31"/>
      <c r="Q1506" s="31"/>
      <c r="R1506" s="31"/>
      <c r="S1506" s="31"/>
      <c r="T1506" s="31"/>
      <c r="U1506" s="31"/>
      <c r="V1506" s="31"/>
      <c r="W1506" s="31"/>
      <c r="X1506" s="31"/>
      <c r="Y1506" s="31"/>
      <c r="Z1506" s="31"/>
      <c r="AA1506" s="31"/>
      <c r="AB1506" s="31"/>
      <c r="AC1506" s="31"/>
      <c r="AD1506" s="31"/>
      <c r="AE1506" s="31"/>
      <c r="AF1506" s="31"/>
      <c r="AG1506" s="31"/>
    </row>
    <row r="1507" spans="1:33" s="32" customFormat="1" ht="15" customHeight="1">
      <c r="A1507" s="37">
        <v>43553</v>
      </c>
      <c r="B1507" s="20" t="s">
        <v>368</v>
      </c>
      <c r="C1507" s="20" t="s">
        <v>46</v>
      </c>
      <c r="D1507" s="20">
        <v>440</v>
      </c>
      <c r="E1507" s="38">
        <v>1300</v>
      </c>
      <c r="F1507" s="20" t="s">
        <v>8</v>
      </c>
      <c r="G1507" s="43">
        <v>25</v>
      </c>
      <c r="H1507" s="20">
        <v>0</v>
      </c>
      <c r="I1507" s="43">
        <v>0</v>
      </c>
      <c r="J1507" s="43">
        <v>0</v>
      </c>
      <c r="K1507" s="1">
        <v>0</v>
      </c>
      <c r="L1507" s="43">
        <v>0</v>
      </c>
      <c r="M1507" s="43">
        <v>0</v>
      </c>
      <c r="N1507" s="1">
        <f t="shared" si="2316"/>
        <v>0</v>
      </c>
      <c r="O1507" s="1">
        <f t="shared" si="2323"/>
        <v>0</v>
      </c>
      <c r="P1507" s="31"/>
      <c r="Q1507" s="31"/>
      <c r="R1507" s="31"/>
      <c r="S1507" s="31"/>
      <c r="T1507" s="31"/>
      <c r="U1507" s="31"/>
      <c r="V1507" s="31"/>
      <c r="W1507" s="31"/>
      <c r="X1507" s="31"/>
      <c r="Y1507" s="31"/>
      <c r="Z1507" s="31"/>
      <c r="AA1507" s="31"/>
      <c r="AB1507" s="31"/>
      <c r="AC1507" s="31"/>
      <c r="AD1507" s="31"/>
      <c r="AE1507" s="31"/>
      <c r="AF1507" s="31"/>
      <c r="AG1507" s="31"/>
    </row>
    <row r="1508" spans="1:33" s="32" customFormat="1" ht="15" customHeight="1">
      <c r="A1508" s="37">
        <v>43553</v>
      </c>
      <c r="B1508" s="20" t="s">
        <v>409</v>
      </c>
      <c r="C1508" s="20" t="s">
        <v>46</v>
      </c>
      <c r="D1508" s="20">
        <v>150</v>
      </c>
      <c r="E1508" s="38">
        <v>4500</v>
      </c>
      <c r="F1508" s="20" t="s">
        <v>8</v>
      </c>
      <c r="G1508" s="43">
        <v>6.5</v>
      </c>
      <c r="H1508" s="20">
        <v>0</v>
      </c>
      <c r="I1508" s="43">
        <v>0</v>
      </c>
      <c r="J1508" s="43">
        <v>0</v>
      </c>
      <c r="K1508" s="1">
        <v>0</v>
      </c>
      <c r="L1508" s="43">
        <v>0</v>
      </c>
      <c r="M1508" s="43">
        <v>0</v>
      </c>
      <c r="N1508" s="1">
        <f t="shared" si="2316"/>
        <v>0</v>
      </c>
      <c r="O1508" s="1">
        <f t="shared" si="2323"/>
        <v>0</v>
      </c>
      <c r="P1508" s="31"/>
      <c r="Q1508" s="31"/>
      <c r="R1508" s="31"/>
      <c r="S1508" s="31"/>
      <c r="T1508" s="31"/>
      <c r="U1508" s="31"/>
      <c r="V1508" s="31"/>
      <c r="W1508" s="31"/>
      <c r="X1508" s="31"/>
      <c r="Y1508" s="31"/>
      <c r="Z1508" s="31"/>
      <c r="AA1508" s="31"/>
      <c r="AB1508" s="31"/>
      <c r="AC1508" s="31"/>
      <c r="AD1508" s="31"/>
      <c r="AE1508" s="31"/>
      <c r="AF1508" s="31"/>
      <c r="AG1508" s="31"/>
    </row>
    <row r="1509" spans="1:33" s="32" customFormat="1" ht="15" customHeight="1">
      <c r="A1509" s="37">
        <v>43552</v>
      </c>
      <c r="B1509" s="20" t="s">
        <v>408</v>
      </c>
      <c r="C1509" s="20" t="s">
        <v>47</v>
      </c>
      <c r="D1509" s="20">
        <v>290</v>
      </c>
      <c r="E1509" s="38">
        <v>2000</v>
      </c>
      <c r="F1509" s="20" t="s">
        <v>8</v>
      </c>
      <c r="G1509" s="43">
        <v>1.4</v>
      </c>
      <c r="H1509" s="20">
        <v>3</v>
      </c>
      <c r="I1509" s="43">
        <v>5</v>
      </c>
      <c r="J1509" s="43">
        <v>7</v>
      </c>
      <c r="K1509" s="1">
        <f>(IF(F1509="SELL",G1509-H1509,IF(F1509="BUY",H1509-G1509)))*E1509</f>
        <v>3200</v>
      </c>
      <c r="L1509" s="43">
        <f>E1509*2</f>
        <v>4000</v>
      </c>
      <c r="M1509" s="43">
        <f>E1509*2</f>
        <v>4000</v>
      </c>
      <c r="N1509" s="1">
        <f t="shared" si="2316"/>
        <v>5.6</v>
      </c>
      <c r="O1509" s="1">
        <f t="shared" si="2323"/>
        <v>11200</v>
      </c>
      <c r="P1509" s="31"/>
      <c r="Q1509" s="31"/>
      <c r="R1509" s="31"/>
      <c r="S1509" s="31"/>
      <c r="T1509" s="31"/>
      <c r="U1509" s="31"/>
      <c r="V1509" s="31"/>
      <c r="W1509" s="31"/>
      <c r="X1509" s="31"/>
      <c r="Y1509" s="31"/>
      <c r="Z1509" s="31"/>
      <c r="AA1509" s="31"/>
      <c r="AB1509" s="31"/>
      <c r="AC1509" s="31"/>
      <c r="AD1509" s="31"/>
      <c r="AE1509" s="31"/>
      <c r="AF1509" s="31"/>
      <c r="AG1509" s="31"/>
    </row>
    <row r="1510" spans="1:33" s="32" customFormat="1" ht="15" customHeight="1">
      <c r="A1510" s="37">
        <v>43552</v>
      </c>
      <c r="B1510" s="20" t="s">
        <v>34</v>
      </c>
      <c r="C1510" s="20" t="s">
        <v>46</v>
      </c>
      <c r="D1510" s="20">
        <v>205</v>
      </c>
      <c r="E1510" s="38">
        <v>3500</v>
      </c>
      <c r="F1510" s="20" t="s">
        <v>8</v>
      </c>
      <c r="G1510" s="43">
        <v>1.4</v>
      </c>
      <c r="H1510" s="20">
        <v>2.4</v>
      </c>
      <c r="I1510" s="43">
        <v>0</v>
      </c>
      <c r="J1510" s="43">
        <v>0</v>
      </c>
      <c r="K1510" s="1">
        <f t="shared" ref="K1510" si="2324">(IF(F1510="SELL",G1510-H1510,IF(F1510="BUY",H1510-G1510)))*E1510</f>
        <v>3500</v>
      </c>
      <c r="L1510" s="43">
        <v>0</v>
      </c>
      <c r="M1510" s="43">
        <v>0</v>
      </c>
      <c r="N1510" s="1">
        <f t="shared" si="2316"/>
        <v>1</v>
      </c>
      <c r="O1510" s="1">
        <f t="shared" si="2323"/>
        <v>3500</v>
      </c>
      <c r="P1510" s="31"/>
      <c r="Q1510" s="31"/>
      <c r="R1510" s="31"/>
      <c r="S1510" s="31"/>
      <c r="T1510" s="31"/>
      <c r="U1510" s="31"/>
      <c r="V1510" s="31"/>
      <c r="W1510" s="31"/>
      <c r="X1510" s="31"/>
      <c r="Y1510" s="31"/>
      <c r="Z1510" s="31"/>
      <c r="AA1510" s="31"/>
      <c r="AB1510" s="31"/>
      <c r="AC1510" s="31"/>
      <c r="AD1510" s="31"/>
      <c r="AE1510" s="31"/>
      <c r="AF1510" s="31"/>
      <c r="AG1510" s="31"/>
    </row>
    <row r="1511" spans="1:33" s="32" customFormat="1" ht="15" customHeight="1">
      <c r="A1511" s="37">
        <v>43550</v>
      </c>
      <c r="B1511" s="20" t="s">
        <v>22</v>
      </c>
      <c r="C1511" s="20" t="s">
        <v>47</v>
      </c>
      <c r="D1511" s="20">
        <v>200</v>
      </c>
      <c r="E1511" s="38">
        <v>2600</v>
      </c>
      <c r="F1511" s="20" t="s">
        <v>8</v>
      </c>
      <c r="G1511" s="43">
        <v>3.5</v>
      </c>
      <c r="H1511" s="20">
        <v>4.5</v>
      </c>
      <c r="I1511" s="43">
        <v>6</v>
      </c>
      <c r="J1511" s="43">
        <v>0</v>
      </c>
      <c r="K1511" s="1">
        <f t="shared" ref="K1511:K1512" si="2325">(IF(F1511="SELL",G1511-H1511,IF(F1511="BUY",H1511-G1511)))*E1511</f>
        <v>2600</v>
      </c>
      <c r="L1511" s="43">
        <f>E1511*1.5</f>
        <v>3900</v>
      </c>
      <c r="M1511" s="43">
        <v>0</v>
      </c>
      <c r="N1511" s="1">
        <f t="shared" si="2316"/>
        <v>2.5</v>
      </c>
      <c r="O1511" s="1">
        <f t="shared" si="2323"/>
        <v>6500</v>
      </c>
      <c r="P1511" s="31"/>
      <c r="Q1511" s="31"/>
      <c r="R1511" s="31"/>
      <c r="S1511" s="31"/>
      <c r="T1511" s="31"/>
      <c r="U1511" s="31"/>
      <c r="V1511" s="31"/>
      <c r="W1511" s="31"/>
      <c r="X1511" s="31"/>
      <c r="Y1511" s="31"/>
      <c r="Z1511" s="31"/>
      <c r="AA1511" s="31"/>
      <c r="AB1511" s="31"/>
      <c r="AC1511" s="31"/>
      <c r="AD1511" s="31"/>
      <c r="AE1511" s="31"/>
      <c r="AF1511" s="31"/>
      <c r="AG1511" s="31"/>
    </row>
    <row r="1512" spans="1:33" s="32" customFormat="1" ht="15" customHeight="1">
      <c r="A1512" s="37">
        <v>43550</v>
      </c>
      <c r="B1512" s="20" t="s">
        <v>77</v>
      </c>
      <c r="C1512" s="20" t="s">
        <v>47</v>
      </c>
      <c r="D1512" s="20">
        <v>360</v>
      </c>
      <c r="E1512" s="38">
        <v>2667</v>
      </c>
      <c r="F1512" s="20" t="s">
        <v>8</v>
      </c>
      <c r="G1512" s="43">
        <v>2.7</v>
      </c>
      <c r="H1512" s="20">
        <v>3.7</v>
      </c>
      <c r="I1512" s="43">
        <v>0</v>
      </c>
      <c r="J1512" s="43">
        <v>0</v>
      </c>
      <c r="K1512" s="1">
        <f t="shared" si="2325"/>
        <v>2667</v>
      </c>
      <c r="L1512" s="43">
        <v>0</v>
      </c>
      <c r="M1512" s="43">
        <v>0</v>
      </c>
      <c r="N1512" s="1">
        <f t="shared" si="2316"/>
        <v>1</v>
      </c>
      <c r="O1512" s="1">
        <f t="shared" si="2323"/>
        <v>2667</v>
      </c>
      <c r="P1512" s="31"/>
      <c r="Q1512" s="31"/>
      <c r="R1512" s="31"/>
      <c r="S1512" s="31"/>
      <c r="T1512" s="31"/>
      <c r="U1512" s="31"/>
      <c r="V1512" s="31"/>
      <c r="W1512" s="31"/>
      <c r="X1512" s="31"/>
      <c r="Y1512" s="31"/>
      <c r="Z1512" s="31"/>
      <c r="AA1512" s="31"/>
      <c r="AB1512" s="31"/>
      <c r="AC1512" s="31"/>
      <c r="AD1512" s="31"/>
      <c r="AE1512" s="31"/>
      <c r="AF1512" s="31"/>
      <c r="AG1512" s="31"/>
    </row>
    <row r="1513" spans="1:33" s="32" customFormat="1" ht="15" customHeight="1">
      <c r="A1513" s="37">
        <v>43546</v>
      </c>
      <c r="B1513" s="20" t="s">
        <v>126</v>
      </c>
      <c r="C1513" s="20" t="s">
        <v>47</v>
      </c>
      <c r="D1513" s="20">
        <v>1420</v>
      </c>
      <c r="E1513" s="38">
        <v>375</v>
      </c>
      <c r="F1513" s="20" t="s">
        <v>8</v>
      </c>
      <c r="G1513" s="43">
        <v>17</v>
      </c>
      <c r="H1513" s="20">
        <v>8</v>
      </c>
      <c r="I1513" s="43">
        <v>0</v>
      </c>
      <c r="J1513" s="43">
        <v>0</v>
      </c>
      <c r="K1513" s="1">
        <f t="shared" ref="K1513" si="2326">(IF(F1513="SELL",G1513-H1513,IF(F1513="BUY",H1513-G1513)))*E1513</f>
        <v>-3375</v>
      </c>
      <c r="L1513" s="43">
        <v>0</v>
      </c>
      <c r="M1513" s="43">
        <v>0</v>
      </c>
      <c r="N1513" s="1">
        <f t="shared" si="2316"/>
        <v>-9</v>
      </c>
      <c r="O1513" s="1">
        <f t="shared" si="2323"/>
        <v>-3375</v>
      </c>
      <c r="P1513" s="31"/>
      <c r="Q1513" s="31"/>
      <c r="R1513" s="31"/>
      <c r="S1513" s="31"/>
      <c r="T1513" s="31"/>
      <c r="U1513" s="31"/>
      <c r="V1513" s="31"/>
      <c r="W1513" s="31"/>
      <c r="X1513" s="31"/>
      <c r="Y1513" s="31"/>
      <c r="Z1513" s="31"/>
      <c r="AA1513" s="31"/>
      <c r="AB1513" s="31"/>
      <c r="AC1513" s="31"/>
      <c r="AD1513" s="31"/>
      <c r="AE1513" s="31"/>
      <c r="AF1513" s="31"/>
      <c r="AG1513" s="31"/>
    </row>
    <row r="1514" spans="1:33" s="32" customFormat="1" ht="15" customHeight="1">
      <c r="A1514" s="37">
        <v>43544</v>
      </c>
      <c r="B1514" s="20" t="s">
        <v>20</v>
      </c>
      <c r="C1514" s="20" t="s">
        <v>47</v>
      </c>
      <c r="D1514" s="20">
        <v>730</v>
      </c>
      <c r="E1514" s="38">
        <v>1200</v>
      </c>
      <c r="F1514" s="20" t="s">
        <v>8</v>
      </c>
      <c r="G1514" s="43">
        <v>15.5</v>
      </c>
      <c r="H1514" s="20">
        <v>17</v>
      </c>
      <c r="I1514" s="43">
        <v>19</v>
      </c>
      <c r="J1514" s="43">
        <v>0</v>
      </c>
      <c r="K1514" s="1">
        <f t="shared" ref="K1514:K1515" si="2327">(IF(F1514="SELL",G1514-H1514,IF(F1514="BUY",H1514-G1514)))*E1514</f>
        <v>1800</v>
      </c>
      <c r="L1514" s="43">
        <f t="shared" ref="L1514" si="2328">E1514*2</f>
        <v>2400</v>
      </c>
      <c r="M1514" s="43">
        <v>0</v>
      </c>
      <c r="N1514" s="1">
        <f t="shared" si="2316"/>
        <v>3.5</v>
      </c>
      <c r="O1514" s="1">
        <f t="shared" si="2323"/>
        <v>4200</v>
      </c>
      <c r="P1514" s="31"/>
      <c r="Q1514" s="31"/>
      <c r="R1514" s="31"/>
      <c r="S1514" s="31"/>
      <c r="T1514" s="31"/>
      <c r="U1514" s="31"/>
      <c r="V1514" s="31"/>
      <c r="W1514" s="31"/>
      <c r="X1514" s="31"/>
      <c r="Y1514" s="31"/>
      <c r="Z1514" s="31"/>
      <c r="AA1514" s="31"/>
      <c r="AB1514" s="31"/>
      <c r="AC1514" s="31"/>
      <c r="AD1514" s="31"/>
      <c r="AE1514" s="31"/>
      <c r="AF1514" s="31"/>
      <c r="AG1514" s="31"/>
    </row>
    <row r="1515" spans="1:33" s="32" customFormat="1" ht="15" customHeight="1">
      <c r="A1515" s="37">
        <v>43544</v>
      </c>
      <c r="B1515" s="20" t="s">
        <v>17</v>
      </c>
      <c r="C1515" s="20" t="s">
        <v>46</v>
      </c>
      <c r="D1515" s="20">
        <v>760</v>
      </c>
      <c r="E1515" s="38">
        <v>1200</v>
      </c>
      <c r="F1515" s="20" t="s">
        <v>8</v>
      </c>
      <c r="G1515" s="43">
        <v>13</v>
      </c>
      <c r="H1515" s="20">
        <v>11</v>
      </c>
      <c r="I1515" s="43">
        <v>0</v>
      </c>
      <c r="J1515" s="43">
        <v>0</v>
      </c>
      <c r="K1515" s="1">
        <f t="shared" si="2327"/>
        <v>-2400</v>
      </c>
      <c r="L1515" s="43">
        <v>0</v>
      </c>
      <c r="M1515" s="43">
        <v>0</v>
      </c>
      <c r="N1515" s="1">
        <f t="shared" si="2316"/>
        <v>-2</v>
      </c>
      <c r="O1515" s="1">
        <f t="shared" si="2323"/>
        <v>-2400</v>
      </c>
      <c r="P1515" s="31"/>
      <c r="Q1515" s="31"/>
      <c r="R1515" s="31"/>
      <c r="S1515" s="31"/>
      <c r="T1515" s="31"/>
      <c r="U1515" s="31"/>
      <c r="V1515" s="31"/>
      <c r="W1515" s="31"/>
      <c r="X1515" s="31"/>
      <c r="Y1515" s="31"/>
      <c r="Z1515" s="31"/>
      <c r="AA1515" s="31"/>
      <c r="AB1515" s="31"/>
      <c r="AC1515" s="31"/>
      <c r="AD1515" s="31"/>
      <c r="AE1515" s="31"/>
      <c r="AF1515" s="31"/>
      <c r="AG1515" s="31"/>
    </row>
    <row r="1516" spans="1:33" s="32" customFormat="1" ht="15" customHeight="1">
      <c r="A1516" s="37">
        <v>43543</v>
      </c>
      <c r="B1516" s="20" t="s">
        <v>331</v>
      </c>
      <c r="C1516" s="20" t="s">
        <v>46</v>
      </c>
      <c r="D1516" s="20">
        <v>480</v>
      </c>
      <c r="E1516" s="38">
        <v>1000</v>
      </c>
      <c r="F1516" s="20" t="s">
        <v>8</v>
      </c>
      <c r="G1516" s="43">
        <v>15</v>
      </c>
      <c r="H1516" s="20">
        <v>17</v>
      </c>
      <c r="I1516" s="43">
        <v>19</v>
      </c>
      <c r="J1516" s="43">
        <v>22</v>
      </c>
      <c r="K1516" s="1">
        <f t="shared" ref="K1516" si="2329">(IF(F1516="SELL",G1516-H1516,IF(F1516="BUY",H1516-G1516)))*E1516</f>
        <v>2000</v>
      </c>
      <c r="L1516" s="43">
        <f>E1516*2</f>
        <v>2000</v>
      </c>
      <c r="M1516" s="43">
        <f>E1516*3</f>
        <v>3000</v>
      </c>
      <c r="N1516" s="1">
        <f t="shared" si="2316"/>
        <v>7</v>
      </c>
      <c r="O1516" s="1">
        <f t="shared" si="2323"/>
        <v>7000</v>
      </c>
      <c r="P1516" s="31"/>
      <c r="Q1516" s="31"/>
      <c r="R1516" s="31"/>
      <c r="S1516" s="31"/>
      <c r="T1516" s="31"/>
      <c r="U1516" s="31"/>
      <c r="V1516" s="31"/>
      <c r="W1516" s="31"/>
      <c r="X1516" s="31"/>
      <c r="Y1516" s="31"/>
      <c r="Z1516" s="31"/>
      <c r="AA1516" s="31"/>
      <c r="AB1516" s="31"/>
      <c r="AC1516" s="31"/>
      <c r="AD1516" s="31"/>
      <c r="AE1516" s="31"/>
      <c r="AF1516" s="31"/>
      <c r="AG1516" s="31"/>
    </row>
    <row r="1517" spans="1:33" s="32" customFormat="1" ht="15" customHeight="1">
      <c r="A1517" s="37">
        <v>43539</v>
      </c>
      <c r="B1517" s="20" t="s">
        <v>21</v>
      </c>
      <c r="C1517" s="20" t="s">
        <v>47</v>
      </c>
      <c r="D1517" s="20">
        <v>295</v>
      </c>
      <c r="E1517" s="38">
        <v>3000</v>
      </c>
      <c r="F1517" s="20" t="s">
        <v>8</v>
      </c>
      <c r="G1517" s="43">
        <v>6.7</v>
      </c>
      <c r="H1517" s="20">
        <v>7.7</v>
      </c>
      <c r="I1517" s="43">
        <v>9</v>
      </c>
      <c r="J1517" s="43">
        <v>0</v>
      </c>
      <c r="K1517" s="1">
        <f t="shared" ref="K1517:K1518" si="2330">(IF(F1517="SELL",G1517-H1517,IF(F1517="BUY",H1517-G1517)))*E1517</f>
        <v>3000</v>
      </c>
      <c r="L1517" s="43">
        <f>E1517*1.3</f>
        <v>3900</v>
      </c>
      <c r="M1517" s="43">
        <v>0</v>
      </c>
      <c r="N1517" s="1">
        <f t="shared" si="2316"/>
        <v>2.2999999999999998</v>
      </c>
      <c r="O1517" s="1">
        <f t="shared" si="2323"/>
        <v>6899.9999999999991</v>
      </c>
      <c r="P1517" s="31"/>
      <c r="Q1517" s="31"/>
      <c r="R1517" s="31"/>
      <c r="S1517" s="31"/>
      <c r="T1517" s="31"/>
      <c r="U1517" s="31"/>
      <c r="V1517" s="31"/>
      <c r="W1517" s="31"/>
      <c r="X1517" s="31"/>
      <c r="Y1517" s="31"/>
      <c r="Z1517" s="31"/>
      <c r="AA1517" s="31"/>
      <c r="AB1517" s="31"/>
      <c r="AC1517" s="31"/>
      <c r="AD1517" s="31"/>
      <c r="AE1517" s="31"/>
      <c r="AF1517" s="31"/>
      <c r="AG1517" s="31"/>
    </row>
    <row r="1518" spans="1:33" s="32" customFormat="1" ht="15" customHeight="1">
      <c r="A1518" s="37">
        <v>43539</v>
      </c>
      <c r="B1518" s="20" t="s">
        <v>69</v>
      </c>
      <c r="C1518" s="20" t="s">
        <v>47</v>
      </c>
      <c r="D1518" s="20">
        <v>165</v>
      </c>
      <c r="E1518" s="38">
        <v>2850</v>
      </c>
      <c r="F1518" s="20" t="s">
        <v>8</v>
      </c>
      <c r="G1518" s="43">
        <v>6</v>
      </c>
      <c r="H1518" s="20">
        <v>7</v>
      </c>
      <c r="I1518" s="43">
        <v>0</v>
      </c>
      <c r="J1518" s="43">
        <v>0</v>
      </c>
      <c r="K1518" s="1">
        <f t="shared" si="2330"/>
        <v>2850</v>
      </c>
      <c r="L1518" s="43">
        <v>0</v>
      </c>
      <c r="M1518" s="43">
        <v>0</v>
      </c>
      <c r="N1518" s="1">
        <f t="shared" si="2316"/>
        <v>1</v>
      </c>
      <c r="O1518" s="1">
        <f t="shared" si="2323"/>
        <v>2850</v>
      </c>
      <c r="P1518" s="31"/>
      <c r="Q1518" s="31"/>
      <c r="R1518" s="31"/>
      <c r="S1518" s="31"/>
      <c r="T1518" s="31"/>
      <c r="U1518" s="31"/>
      <c r="V1518" s="31"/>
      <c r="W1518" s="31"/>
      <c r="X1518" s="31"/>
      <c r="Y1518" s="31"/>
      <c r="Z1518" s="31"/>
      <c r="AA1518" s="31"/>
      <c r="AB1518" s="31"/>
      <c r="AC1518" s="31"/>
      <c r="AD1518" s="31"/>
      <c r="AE1518" s="31"/>
      <c r="AF1518" s="31"/>
      <c r="AG1518" s="31"/>
    </row>
    <row r="1519" spans="1:33" s="32" customFormat="1" ht="15" customHeight="1">
      <c r="A1519" s="37">
        <v>43538</v>
      </c>
      <c r="B1519" s="20" t="s">
        <v>407</v>
      </c>
      <c r="C1519" s="20" t="s">
        <v>47</v>
      </c>
      <c r="D1519" s="20">
        <v>510</v>
      </c>
      <c r="E1519" s="38">
        <v>1100</v>
      </c>
      <c r="F1519" s="20" t="s">
        <v>8</v>
      </c>
      <c r="G1519" s="43">
        <v>12.25</v>
      </c>
      <c r="H1519" s="20">
        <v>14</v>
      </c>
      <c r="I1519" s="43">
        <v>16</v>
      </c>
      <c r="J1519" s="43">
        <v>18</v>
      </c>
      <c r="K1519" s="1">
        <f t="shared" ref="K1519" si="2331">(IF(F1519="SELL",G1519-H1519,IF(F1519="BUY",H1519-G1519)))*E1519</f>
        <v>1925</v>
      </c>
      <c r="L1519" s="43">
        <f>E1519*2</f>
        <v>2200</v>
      </c>
      <c r="M1519" s="43">
        <f>E1519*2</f>
        <v>2200</v>
      </c>
      <c r="N1519" s="1">
        <f t="shared" si="2316"/>
        <v>5.75</v>
      </c>
      <c r="O1519" s="1">
        <f t="shared" si="2323"/>
        <v>6325</v>
      </c>
      <c r="P1519" s="31"/>
      <c r="Q1519" s="31"/>
      <c r="R1519" s="31"/>
      <c r="S1519" s="31"/>
      <c r="T1519" s="31"/>
      <c r="U1519" s="31"/>
      <c r="V1519" s="31"/>
      <c r="W1519" s="31"/>
      <c r="X1519" s="31"/>
      <c r="Y1519" s="31"/>
      <c r="Z1519" s="31"/>
      <c r="AA1519" s="31"/>
      <c r="AB1519" s="31"/>
      <c r="AC1519" s="31"/>
      <c r="AD1519" s="31"/>
      <c r="AE1519" s="31"/>
      <c r="AF1519" s="31"/>
      <c r="AG1519" s="31"/>
    </row>
    <row r="1520" spans="1:33" s="32" customFormat="1" ht="15" customHeight="1">
      <c r="A1520" s="37">
        <v>43538</v>
      </c>
      <c r="B1520" s="20" t="s">
        <v>26</v>
      </c>
      <c r="C1520" s="20" t="s">
        <v>47</v>
      </c>
      <c r="D1520" s="20">
        <v>520</v>
      </c>
      <c r="E1520" s="38">
        <v>1061</v>
      </c>
      <c r="F1520" s="20" t="s">
        <v>8</v>
      </c>
      <c r="G1520" s="43">
        <v>10.5</v>
      </c>
      <c r="H1520" s="20">
        <v>12.5</v>
      </c>
      <c r="I1520" s="43">
        <v>0</v>
      </c>
      <c r="J1520" s="43">
        <v>0</v>
      </c>
      <c r="K1520" s="1">
        <f t="shared" ref="K1520" si="2332">(IF(F1520="SELL",G1520-H1520,IF(F1520="BUY",H1520-G1520)))*E1520</f>
        <v>2122</v>
      </c>
      <c r="L1520" s="43">
        <v>0</v>
      </c>
      <c r="M1520" s="43">
        <v>0</v>
      </c>
      <c r="N1520" s="1">
        <f t="shared" si="2316"/>
        <v>2</v>
      </c>
      <c r="O1520" s="1">
        <f t="shared" si="2323"/>
        <v>2122</v>
      </c>
      <c r="P1520" s="31"/>
      <c r="Q1520" s="31"/>
      <c r="R1520" s="31"/>
      <c r="S1520" s="31"/>
      <c r="T1520" s="31"/>
      <c r="U1520" s="31"/>
      <c r="V1520" s="31"/>
      <c r="W1520" s="31"/>
      <c r="X1520" s="31"/>
      <c r="Y1520" s="31"/>
      <c r="Z1520" s="31"/>
      <c r="AA1520" s="31"/>
      <c r="AB1520" s="31"/>
      <c r="AC1520" s="31"/>
      <c r="AD1520" s="31"/>
      <c r="AE1520" s="31"/>
      <c r="AF1520" s="31"/>
      <c r="AG1520" s="31"/>
    </row>
    <row r="1521" spans="1:33" s="32" customFormat="1" ht="15" customHeight="1">
      <c r="A1521" s="37">
        <v>43537</v>
      </c>
      <c r="B1521" s="20" t="s">
        <v>30</v>
      </c>
      <c r="C1521" s="20" t="s">
        <v>47</v>
      </c>
      <c r="D1521" s="20">
        <v>380</v>
      </c>
      <c r="E1521" s="38">
        <v>2750</v>
      </c>
      <c r="F1521" s="20" t="s">
        <v>8</v>
      </c>
      <c r="G1521" s="43">
        <v>7</v>
      </c>
      <c r="H1521" s="20">
        <v>8</v>
      </c>
      <c r="I1521" s="43">
        <v>9.5</v>
      </c>
      <c r="J1521" s="43">
        <v>0</v>
      </c>
      <c r="K1521" s="1">
        <f t="shared" ref="K1521:K1522" si="2333">(IF(F1521="SELL",G1521-H1521,IF(F1521="BUY",H1521-G1521)))*E1521</f>
        <v>2750</v>
      </c>
      <c r="L1521" s="43">
        <f>E1521*1.5</f>
        <v>4125</v>
      </c>
      <c r="M1521" s="43">
        <v>0</v>
      </c>
      <c r="N1521" s="1">
        <f t="shared" si="2316"/>
        <v>2.5</v>
      </c>
      <c r="O1521" s="1">
        <f t="shared" si="2323"/>
        <v>6875</v>
      </c>
      <c r="P1521" s="31"/>
      <c r="Q1521" s="31"/>
      <c r="R1521" s="31"/>
      <c r="S1521" s="31"/>
      <c r="T1521" s="31"/>
      <c r="U1521" s="31"/>
      <c r="V1521" s="31"/>
      <c r="W1521" s="31"/>
      <c r="X1521" s="31"/>
      <c r="Y1521" s="31"/>
      <c r="Z1521" s="31"/>
      <c r="AA1521" s="31"/>
      <c r="AB1521" s="31"/>
      <c r="AC1521" s="31"/>
      <c r="AD1521" s="31"/>
      <c r="AE1521" s="31"/>
      <c r="AF1521" s="31"/>
      <c r="AG1521" s="31"/>
    </row>
    <row r="1522" spans="1:33" s="32" customFormat="1" ht="15" customHeight="1">
      <c r="A1522" s="37">
        <v>43537</v>
      </c>
      <c r="B1522" s="20" t="s">
        <v>39</v>
      </c>
      <c r="C1522" s="20" t="s">
        <v>47</v>
      </c>
      <c r="D1522" s="20">
        <v>1340</v>
      </c>
      <c r="E1522" s="38">
        <v>500</v>
      </c>
      <c r="F1522" s="20" t="s">
        <v>8</v>
      </c>
      <c r="G1522" s="43">
        <v>28</v>
      </c>
      <c r="H1522" s="20">
        <v>35</v>
      </c>
      <c r="I1522" s="43">
        <v>0</v>
      </c>
      <c r="J1522" s="43">
        <v>0</v>
      </c>
      <c r="K1522" s="1">
        <f t="shared" si="2333"/>
        <v>3500</v>
      </c>
      <c r="L1522" s="43">
        <v>0</v>
      </c>
      <c r="M1522" s="43">
        <v>0</v>
      </c>
      <c r="N1522" s="1">
        <f t="shared" si="2316"/>
        <v>7</v>
      </c>
      <c r="O1522" s="1">
        <f t="shared" si="2323"/>
        <v>3500</v>
      </c>
      <c r="P1522" s="31"/>
      <c r="Q1522" s="31"/>
      <c r="R1522" s="31"/>
      <c r="S1522" s="31"/>
      <c r="T1522" s="31"/>
      <c r="U1522" s="31"/>
      <c r="V1522" s="31"/>
      <c r="W1522" s="31"/>
      <c r="X1522" s="31"/>
      <c r="Y1522" s="31"/>
      <c r="Z1522" s="31"/>
      <c r="AA1522" s="31"/>
      <c r="AB1522" s="31"/>
      <c r="AC1522" s="31"/>
      <c r="AD1522" s="31"/>
      <c r="AE1522" s="31"/>
      <c r="AF1522" s="31"/>
      <c r="AG1522" s="31"/>
    </row>
    <row r="1523" spans="1:33" s="32" customFormat="1" ht="15" customHeight="1">
      <c r="A1523" s="37">
        <v>43537</v>
      </c>
      <c r="B1523" s="20" t="s">
        <v>22</v>
      </c>
      <c r="C1523" s="20" t="s">
        <v>47</v>
      </c>
      <c r="D1523" s="20">
        <v>200</v>
      </c>
      <c r="E1523" s="38">
        <v>2600</v>
      </c>
      <c r="F1523" s="20" t="s">
        <v>8</v>
      </c>
      <c r="G1523" s="43">
        <v>5</v>
      </c>
      <c r="H1523" s="20">
        <v>4</v>
      </c>
      <c r="I1523" s="43">
        <v>0</v>
      </c>
      <c r="J1523" s="43">
        <v>0</v>
      </c>
      <c r="K1523" s="1">
        <f t="shared" ref="K1523" si="2334">(IF(F1523="SELL",G1523-H1523,IF(F1523="BUY",H1523-G1523)))*E1523</f>
        <v>-2600</v>
      </c>
      <c r="L1523" s="43">
        <v>0</v>
      </c>
      <c r="M1523" s="43">
        <v>0</v>
      </c>
      <c r="N1523" s="1">
        <f t="shared" si="2316"/>
        <v>-1</v>
      </c>
      <c r="O1523" s="1">
        <f t="shared" si="2323"/>
        <v>-2600</v>
      </c>
      <c r="P1523" s="31"/>
      <c r="Q1523" s="31"/>
      <c r="R1523" s="31"/>
      <c r="S1523" s="31"/>
      <c r="T1523" s="31"/>
      <c r="U1523" s="31"/>
      <c r="V1523" s="31"/>
      <c r="W1523" s="31"/>
      <c r="X1523" s="31"/>
      <c r="Y1523" s="31"/>
      <c r="Z1523" s="31"/>
      <c r="AA1523" s="31"/>
      <c r="AB1523" s="31"/>
      <c r="AC1523" s="31"/>
      <c r="AD1523" s="31"/>
      <c r="AE1523" s="31"/>
      <c r="AF1523" s="31"/>
      <c r="AG1523" s="31"/>
    </row>
    <row r="1524" spans="1:33" s="32" customFormat="1" ht="15" customHeight="1">
      <c r="A1524" s="37">
        <v>43536</v>
      </c>
      <c r="B1524" s="20" t="s">
        <v>34</v>
      </c>
      <c r="C1524" s="20" t="s">
        <v>47</v>
      </c>
      <c r="D1524" s="20">
        <v>205</v>
      </c>
      <c r="E1524" s="38">
        <v>3500</v>
      </c>
      <c r="F1524" s="20" t="s">
        <v>8</v>
      </c>
      <c r="G1524" s="43">
        <v>6</v>
      </c>
      <c r="H1524" s="20">
        <v>7</v>
      </c>
      <c r="I1524" s="43">
        <v>0</v>
      </c>
      <c r="J1524" s="43">
        <v>0</v>
      </c>
      <c r="K1524" s="1">
        <f t="shared" ref="K1524" si="2335">(IF(F1524="SELL",G1524-H1524,IF(F1524="BUY",H1524-G1524)))*E1524</f>
        <v>3500</v>
      </c>
      <c r="L1524" s="43">
        <v>0</v>
      </c>
      <c r="M1524" s="43">
        <v>0</v>
      </c>
      <c r="N1524" s="1">
        <f t="shared" si="2316"/>
        <v>1</v>
      </c>
      <c r="O1524" s="1">
        <f t="shared" si="2323"/>
        <v>3500</v>
      </c>
      <c r="P1524" s="31"/>
      <c r="Q1524" s="31"/>
      <c r="R1524" s="31"/>
      <c r="S1524" s="31"/>
      <c r="T1524" s="31"/>
      <c r="U1524" s="31"/>
      <c r="V1524" s="31"/>
      <c r="W1524" s="31"/>
      <c r="X1524" s="31"/>
      <c r="Y1524" s="31"/>
      <c r="Z1524" s="31"/>
      <c r="AA1524" s="31"/>
      <c r="AB1524" s="31"/>
      <c r="AC1524" s="31"/>
      <c r="AD1524" s="31"/>
      <c r="AE1524" s="31"/>
      <c r="AF1524" s="31"/>
      <c r="AG1524" s="31"/>
    </row>
    <row r="1525" spans="1:33" s="32" customFormat="1" ht="15" customHeight="1">
      <c r="A1525" s="37">
        <v>43535</v>
      </c>
      <c r="B1525" s="20" t="s">
        <v>402</v>
      </c>
      <c r="C1525" s="20" t="s">
        <v>47</v>
      </c>
      <c r="D1525" s="20">
        <v>1280</v>
      </c>
      <c r="E1525" s="38">
        <v>500</v>
      </c>
      <c r="F1525" s="20" t="s">
        <v>8</v>
      </c>
      <c r="G1525" s="43">
        <v>35</v>
      </c>
      <c r="H1525" s="20">
        <v>40</v>
      </c>
      <c r="I1525" s="43">
        <v>45</v>
      </c>
      <c r="J1525" s="43">
        <v>0</v>
      </c>
      <c r="K1525" s="1">
        <f t="shared" ref="K1525:K1527" si="2336">(IF(F1525="SELL",G1525-H1525,IF(F1525="BUY",H1525-G1525)))*E1525</f>
        <v>2500</v>
      </c>
      <c r="L1525" s="43">
        <f>E1525*5</f>
        <v>2500</v>
      </c>
      <c r="M1525" s="43">
        <v>0</v>
      </c>
      <c r="N1525" s="1">
        <f t="shared" si="2316"/>
        <v>10</v>
      </c>
      <c r="O1525" s="1">
        <f t="shared" si="2323"/>
        <v>5000</v>
      </c>
      <c r="P1525" s="31"/>
      <c r="Q1525" s="31"/>
      <c r="R1525" s="31"/>
      <c r="S1525" s="31"/>
      <c r="T1525" s="31"/>
      <c r="U1525" s="31"/>
      <c r="V1525" s="31"/>
      <c r="W1525" s="31"/>
      <c r="X1525" s="31"/>
      <c r="Y1525" s="31"/>
      <c r="Z1525" s="31"/>
      <c r="AA1525" s="31"/>
      <c r="AB1525" s="31"/>
      <c r="AC1525" s="31"/>
      <c r="AD1525" s="31"/>
      <c r="AE1525" s="31"/>
      <c r="AF1525" s="31"/>
      <c r="AG1525" s="31"/>
    </row>
    <row r="1526" spans="1:33" s="32" customFormat="1" ht="15" customHeight="1">
      <c r="A1526" s="37">
        <v>43535</v>
      </c>
      <c r="B1526" s="20" t="s">
        <v>30</v>
      </c>
      <c r="C1526" s="20" t="s">
        <v>47</v>
      </c>
      <c r="D1526" s="20">
        <v>380</v>
      </c>
      <c r="E1526" s="38">
        <v>2750</v>
      </c>
      <c r="F1526" s="20" t="s">
        <v>8</v>
      </c>
      <c r="G1526" s="43">
        <v>6.5</v>
      </c>
      <c r="H1526" s="20">
        <v>7.5</v>
      </c>
      <c r="I1526" s="43">
        <v>0</v>
      </c>
      <c r="J1526" s="43">
        <v>0</v>
      </c>
      <c r="K1526" s="1">
        <f t="shared" si="2336"/>
        <v>2750</v>
      </c>
      <c r="L1526" s="43">
        <v>0</v>
      </c>
      <c r="M1526" s="43">
        <v>0</v>
      </c>
      <c r="N1526" s="1">
        <f t="shared" si="2316"/>
        <v>1</v>
      </c>
      <c r="O1526" s="1">
        <f t="shared" si="2323"/>
        <v>2750</v>
      </c>
      <c r="P1526" s="31"/>
      <c r="Q1526" s="31"/>
      <c r="R1526" s="31"/>
      <c r="S1526" s="31"/>
      <c r="T1526" s="31"/>
      <c r="U1526" s="31"/>
      <c r="V1526" s="31"/>
      <c r="W1526" s="31"/>
      <c r="X1526" s="31"/>
      <c r="Y1526" s="31"/>
      <c r="Z1526" s="31"/>
      <c r="AA1526" s="31"/>
      <c r="AB1526" s="31"/>
      <c r="AC1526" s="31"/>
      <c r="AD1526" s="31"/>
      <c r="AE1526" s="31"/>
      <c r="AF1526" s="31"/>
      <c r="AG1526" s="31"/>
    </row>
    <row r="1527" spans="1:33" s="32" customFormat="1" ht="15" customHeight="1">
      <c r="A1527" s="37">
        <v>43535</v>
      </c>
      <c r="B1527" s="20" t="s">
        <v>34</v>
      </c>
      <c r="C1527" s="20" t="s">
        <v>47</v>
      </c>
      <c r="D1527" s="20">
        <v>200</v>
      </c>
      <c r="E1527" s="38">
        <v>3500</v>
      </c>
      <c r="F1527" s="20" t="s">
        <v>8</v>
      </c>
      <c r="G1527" s="43">
        <v>5.9</v>
      </c>
      <c r="H1527" s="20">
        <v>6.7</v>
      </c>
      <c r="I1527" s="43">
        <v>0</v>
      </c>
      <c r="J1527" s="43">
        <v>0</v>
      </c>
      <c r="K1527" s="1">
        <f t="shared" si="2336"/>
        <v>2799.9999999999995</v>
      </c>
      <c r="L1527" s="43">
        <v>0</v>
      </c>
      <c r="M1527" s="43">
        <v>0</v>
      </c>
      <c r="N1527" s="1">
        <f t="shared" si="2316"/>
        <v>0.79999999999999982</v>
      </c>
      <c r="O1527" s="1">
        <f t="shared" si="2323"/>
        <v>2799.9999999999995</v>
      </c>
      <c r="P1527" s="31"/>
      <c r="Q1527" s="31"/>
      <c r="R1527" s="31"/>
      <c r="S1527" s="31"/>
      <c r="T1527" s="31"/>
      <c r="U1527" s="31"/>
      <c r="V1527" s="31"/>
      <c r="W1527" s="31"/>
      <c r="X1527" s="31"/>
      <c r="Y1527" s="31"/>
      <c r="Z1527" s="31"/>
      <c r="AA1527" s="31"/>
      <c r="AB1527" s="31"/>
      <c r="AC1527" s="31"/>
      <c r="AD1527" s="31"/>
      <c r="AE1527" s="31"/>
      <c r="AF1527" s="31"/>
      <c r="AG1527" s="31"/>
    </row>
    <row r="1528" spans="1:33" s="32" customFormat="1" ht="15" customHeight="1">
      <c r="A1528" s="37">
        <v>43532</v>
      </c>
      <c r="B1528" s="20" t="s">
        <v>34</v>
      </c>
      <c r="C1528" s="20" t="s">
        <v>46</v>
      </c>
      <c r="D1528" s="20">
        <v>195</v>
      </c>
      <c r="E1528" s="38">
        <v>3500</v>
      </c>
      <c r="F1528" s="20" t="s">
        <v>8</v>
      </c>
      <c r="G1528" s="43">
        <v>6</v>
      </c>
      <c r="H1528" s="20">
        <v>7</v>
      </c>
      <c r="I1528" s="43">
        <v>0</v>
      </c>
      <c r="J1528" s="43">
        <v>0</v>
      </c>
      <c r="K1528" s="1">
        <f t="shared" ref="K1528:K1529" si="2337">(IF(F1528="SELL",G1528-H1528,IF(F1528="BUY",H1528-G1528)))*E1528</f>
        <v>3500</v>
      </c>
      <c r="L1528" s="43">
        <v>0</v>
      </c>
      <c r="M1528" s="43">
        <v>0</v>
      </c>
      <c r="N1528" s="1">
        <f t="shared" si="2316"/>
        <v>1</v>
      </c>
      <c r="O1528" s="1">
        <f t="shared" si="2323"/>
        <v>3500</v>
      </c>
      <c r="P1528" s="31"/>
      <c r="Q1528" s="31"/>
      <c r="R1528" s="31"/>
      <c r="S1528" s="31"/>
      <c r="T1528" s="31"/>
      <c r="U1528" s="31"/>
      <c r="V1528" s="31"/>
      <c r="W1528" s="31"/>
      <c r="X1528" s="31"/>
      <c r="Y1528" s="31"/>
      <c r="Z1528" s="31"/>
      <c r="AA1528" s="31"/>
      <c r="AB1528" s="31"/>
      <c r="AC1528" s="31"/>
      <c r="AD1528" s="31"/>
      <c r="AE1528" s="31"/>
      <c r="AF1528" s="31"/>
      <c r="AG1528" s="31"/>
    </row>
    <row r="1529" spans="1:33" s="32" customFormat="1" ht="15" customHeight="1">
      <c r="A1529" s="37">
        <v>43532</v>
      </c>
      <c r="B1529" s="20" t="s">
        <v>21</v>
      </c>
      <c r="C1529" s="20" t="s">
        <v>47</v>
      </c>
      <c r="D1529" s="20">
        <v>285</v>
      </c>
      <c r="E1529" s="38">
        <v>3000</v>
      </c>
      <c r="F1529" s="20" t="s">
        <v>8</v>
      </c>
      <c r="G1529" s="43">
        <v>6.8</v>
      </c>
      <c r="H1529" s="20">
        <v>5.2</v>
      </c>
      <c r="I1529" s="43">
        <v>0</v>
      </c>
      <c r="J1529" s="43">
        <v>0</v>
      </c>
      <c r="K1529" s="1">
        <f t="shared" si="2337"/>
        <v>-4799.9999999999991</v>
      </c>
      <c r="L1529" s="43">
        <v>0</v>
      </c>
      <c r="M1529" s="43">
        <v>0</v>
      </c>
      <c r="N1529" s="1">
        <f t="shared" si="2316"/>
        <v>-1.5999999999999996</v>
      </c>
      <c r="O1529" s="1">
        <f t="shared" si="2323"/>
        <v>-4799.9999999999991</v>
      </c>
      <c r="P1529" s="31"/>
      <c r="Q1529" s="31"/>
      <c r="R1529" s="31"/>
      <c r="S1529" s="31"/>
      <c r="T1529" s="31"/>
      <c r="U1529" s="31"/>
      <c r="V1529" s="31"/>
      <c r="W1529" s="31"/>
      <c r="X1529" s="31"/>
      <c r="Y1529" s="31"/>
      <c r="Z1529" s="31"/>
      <c r="AA1529" s="31"/>
      <c r="AB1529" s="31"/>
      <c r="AC1529" s="31"/>
      <c r="AD1529" s="31"/>
      <c r="AE1529" s="31"/>
      <c r="AF1529" s="31"/>
      <c r="AG1529" s="31"/>
    </row>
    <row r="1530" spans="1:33" s="32" customFormat="1" ht="15" customHeight="1">
      <c r="A1530" s="37">
        <v>43531</v>
      </c>
      <c r="B1530" s="20" t="s">
        <v>54</v>
      </c>
      <c r="C1530" s="20" t="s">
        <v>47</v>
      </c>
      <c r="D1530" s="20">
        <v>620</v>
      </c>
      <c r="E1530" s="38">
        <v>1000</v>
      </c>
      <c r="F1530" s="20" t="s">
        <v>8</v>
      </c>
      <c r="G1530" s="43">
        <v>26</v>
      </c>
      <c r="H1530" s="20">
        <v>22</v>
      </c>
      <c r="I1530" s="43">
        <v>0</v>
      </c>
      <c r="J1530" s="43">
        <v>0</v>
      </c>
      <c r="K1530" s="1">
        <f t="shared" ref="K1530" si="2338">(IF(F1530="SELL",G1530-H1530,IF(F1530="BUY",H1530-G1530)))*E1530</f>
        <v>-4000</v>
      </c>
      <c r="L1530" s="43">
        <v>0</v>
      </c>
      <c r="M1530" s="43">
        <v>0</v>
      </c>
      <c r="N1530" s="1">
        <f t="shared" si="2316"/>
        <v>-4</v>
      </c>
      <c r="O1530" s="1">
        <f t="shared" si="2323"/>
        <v>-4000</v>
      </c>
      <c r="P1530" s="31"/>
      <c r="Q1530" s="31"/>
      <c r="R1530" s="31"/>
      <c r="S1530" s="31"/>
      <c r="T1530" s="31"/>
      <c r="U1530" s="31"/>
      <c r="V1530" s="31"/>
      <c r="W1530" s="31"/>
      <c r="X1530" s="31"/>
      <c r="Y1530" s="31"/>
      <c r="Z1530" s="31"/>
      <c r="AA1530" s="31"/>
      <c r="AB1530" s="31"/>
      <c r="AC1530" s="31"/>
      <c r="AD1530" s="31"/>
      <c r="AE1530" s="31"/>
      <c r="AF1530" s="31"/>
      <c r="AG1530" s="31"/>
    </row>
    <row r="1531" spans="1:33" s="32" customFormat="1" ht="15" customHeight="1">
      <c r="A1531" s="37">
        <v>43531</v>
      </c>
      <c r="B1531" s="20" t="s">
        <v>329</v>
      </c>
      <c r="C1531" s="20" t="s">
        <v>47</v>
      </c>
      <c r="D1531" s="20">
        <v>1350</v>
      </c>
      <c r="E1531" s="38">
        <v>750</v>
      </c>
      <c r="F1531" s="20" t="s">
        <v>8</v>
      </c>
      <c r="G1531" s="43">
        <v>32.5</v>
      </c>
      <c r="H1531" s="20">
        <v>0</v>
      </c>
      <c r="I1531" s="43">
        <v>0</v>
      </c>
      <c r="J1531" s="43">
        <v>0</v>
      </c>
      <c r="K1531" s="1">
        <v>0</v>
      </c>
      <c r="L1531" s="43">
        <v>0</v>
      </c>
      <c r="M1531" s="43">
        <v>0</v>
      </c>
      <c r="N1531" s="1">
        <f t="shared" si="2316"/>
        <v>0</v>
      </c>
      <c r="O1531" s="1">
        <f t="shared" si="2323"/>
        <v>0</v>
      </c>
      <c r="P1531" s="31"/>
      <c r="Q1531" s="31"/>
      <c r="R1531" s="31"/>
      <c r="S1531" s="31"/>
      <c r="T1531" s="31"/>
      <c r="U1531" s="31"/>
      <c r="V1531" s="31"/>
      <c r="W1531" s="31"/>
      <c r="X1531" s="31"/>
      <c r="Y1531" s="31"/>
      <c r="Z1531" s="31"/>
      <c r="AA1531" s="31"/>
      <c r="AB1531" s="31"/>
      <c r="AC1531" s="31"/>
      <c r="AD1531" s="31"/>
      <c r="AE1531" s="31"/>
      <c r="AF1531" s="31"/>
      <c r="AG1531" s="31"/>
    </row>
    <row r="1532" spans="1:33" s="32" customFormat="1" ht="15" customHeight="1">
      <c r="A1532" s="37">
        <v>43530</v>
      </c>
      <c r="B1532" s="20" t="s">
        <v>39</v>
      </c>
      <c r="C1532" s="20" t="s">
        <v>47</v>
      </c>
      <c r="D1532" s="20">
        <v>1260</v>
      </c>
      <c r="E1532" s="38">
        <v>500</v>
      </c>
      <c r="F1532" s="20" t="s">
        <v>8</v>
      </c>
      <c r="G1532" s="43">
        <v>30</v>
      </c>
      <c r="H1532" s="20">
        <v>35</v>
      </c>
      <c r="I1532" s="43">
        <v>40</v>
      </c>
      <c r="J1532" s="43">
        <v>0</v>
      </c>
      <c r="K1532" s="1">
        <f t="shared" ref="K1532:K1533" si="2339">(IF(F1532="SELL",G1532-H1532,IF(F1532="BUY",H1532-G1532)))*E1532</f>
        <v>2500</v>
      </c>
      <c r="L1532" s="43">
        <f>E1532*5</f>
        <v>2500</v>
      </c>
      <c r="M1532" s="43">
        <v>0</v>
      </c>
      <c r="N1532" s="1">
        <f t="shared" si="2316"/>
        <v>10</v>
      </c>
      <c r="O1532" s="1">
        <f t="shared" si="2323"/>
        <v>5000</v>
      </c>
      <c r="P1532" s="31"/>
      <c r="Q1532" s="31"/>
      <c r="R1532" s="31"/>
      <c r="S1532" s="31"/>
      <c r="T1532" s="31"/>
      <c r="U1532" s="31"/>
      <c r="V1532" s="31"/>
      <c r="W1532" s="31"/>
      <c r="X1532" s="31"/>
      <c r="Y1532" s="31"/>
      <c r="Z1532" s="31"/>
      <c r="AA1532" s="31"/>
      <c r="AB1532" s="31"/>
      <c r="AC1532" s="31"/>
      <c r="AD1532" s="31"/>
      <c r="AE1532" s="31"/>
      <c r="AF1532" s="31"/>
      <c r="AG1532" s="31"/>
    </row>
    <row r="1533" spans="1:33" s="32" customFormat="1" ht="15" customHeight="1">
      <c r="A1533" s="37">
        <v>43530</v>
      </c>
      <c r="B1533" s="20" t="s">
        <v>34</v>
      </c>
      <c r="C1533" s="20" t="s">
        <v>47</v>
      </c>
      <c r="D1533" s="20">
        <v>200</v>
      </c>
      <c r="E1533" s="38">
        <v>3500</v>
      </c>
      <c r="F1533" s="20" t="s">
        <v>8</v>
      </c>
      <c r="G1533" s="43">
        <v>8.3000000000000007</v>
      </c>
      <c r="H1533" s="20">
        <v>9.1999999999999993</v>
      </c>
      <c r="I1533" s="43">
        <v>0</v>
      </c>
      <c r="J1533" s="43">
        <v>0</v>
      </c>
      <c r="K1533" s="1">
        <f t="shared" si="2339"/>
        <v>3149.999999999995</v>
      </c>
      <c r="L1533" s="43">
        <v>0</v>
      </c>
      <c r="M1533" s="43">
        <v>0</v>
      </c>
      <c r="N1533" s="1">
        <f t="shared" si="2316"/>
        <v>0.89999999999999858</v>
      </c>
      <c r="O1533" s="1">
        <f t="shared" si="2323"/>
        <v>3149.999999999995</v>
      </c>
      <c r="P1533" s="31"/>
      <c r="Q1533" s="31"/>
      <c r="R1533" s="31"/>
      <c r="S1533" s="31"/>
      <c r="T1533" s="31"/>
      <c r="U1533" s="31"/>
      <c r="V1533" s="31"/>
      <c r="W1533" s="31"/>
      <c r="X1533" s="31"/>
      <c r="Y1533" s="31"/>
      <c r="Z1533" s="31"/>
      <c r="AA1533" s="31"/>
      <c r="AB1533" s="31"/>
      <c r="AC1533" s="31"/>
      <c r="AD1533" s="31"/>
      <c r="AE1533" s="31"/>
      <c r="AF1533" s="31"/>
      <c r="AG1533" s="31"/>
    </row>
    <row r="1534" spans="1:33" s="32" customFormat="1" ht="15" customHeight="1">
      <c r="A1534" s="37">
        <v>43529</v>
      </c>
      <c r="B1534" s="20" t="s">
        <v>193</v>
      </c>
      <c r="C1534" s="20" t="s">
        <v>47</v>
      </c>
      <c r="D1534" s="20">
        <v>300</v>
      </c>
      <c r="E1534" s="38">
        <v>2750</v>
      </c>
      <c r="F1534" s="20" t="s">
        <v>8</v>
      </c>
      <c r="G1534" s="43">
        <v>8.5</v>
      </c>
      <c r="H1534" s="20">
        <v>9.5</v>
      </c>
      <c r="I1534" s="43">
        <v>0</v>
      </c>
      <c r="J1534" s="43">
        <v>0</v>
      </c>
      <c r="K1534" s="1">
        <f t="shared" ref="K1534:K1536" si="2340">(IF(F1534="SELL",G1534-H1534,IF(F1534="BUY",H1534-G1534)))*E1534</f>
        <v>2750</v>
      </c>
      <c r="L1534" s="43">
        <v>0</v>
      </c>
      <c r="M1534" s="43">
        <v>0</v>
      </c>
      <c r="N1534" s="1">
        <f t="shared" si="2316"/>
        <v>1</v>
      </c>
      <c r="O1534" s="1">
        <f t="shared" si="2323"/>
        <v>2750</v>
      </c>
      <c r="P1534" s="31"/>
      <c r="Q1534" s="31"/>
      <c r="R1534" s="31"/>
      <c r="S1534" s="31"/>
      <c r="T1534" s="31"/>
      <c r="U1534" s="31"/>
      <c r="V1534" s="31"/>
      <c r="W1534" s="31"/>
      <c r="X1534" s="31"/>
      <c r="Y1534" s="31"/>
      <c r="Z1534" s="31"/>
      <c r="AA1534" s="31"/>
      <c r="AB1534" s="31"/>
      <c r="AC1534" s="31"/>
      <c r="AD1534" s="31"/>
      <c r="AE1534" s="31"/>
      <c r="AF1534" s="31"/>
      <c r="AG1534" s="31"/>
    </row>
    <row r="1535" spans="1:33" s="32" customFormat="1" ht="15" customHeight="1">
      <c r="A1535" s="37">
        <v>43529</v>
      </c>
      <c r="B1535" s="20" t="s">
        <v>69</v>
      </c>
      <c r="C1535" s="20" t="s">
        <v>47</v>
      </c>
      <c r="D1535" s="20">
        <v>160</v>
      </c>
      <c r="E1535" s="38">
        <v>2850</v>
      </c>
      <c r="F1535" s="20" t="s">
        <v>8</v>
      </c>
      <c r="G1535" s="43">
        <v>8</v>
      </c>
      <c r="H1535" s="20">
        <v>9</v>
      </c>
      <c r="I1535" s="43">
        <v>0</v>
      </c>
      <c r="J1535" s="43">
        <v>0</v>
      </c>
      <c r="K1535" s="1">
        <f t="shared" si="2340"/>
        <v>2850</v>
      </c>
      <c r="L1535" s="43">
        <v>0</v>
      </c>
      <c r="M1535" s="43">
        <v>0</v>
      </c>
      <c r="N1535" s="1">
        <f t="shared" si="2316"/>
        <v>1</v>
      </c>
      <c r="O1535" s="1">
        <f t="shared" si="2323"/>
        <v>2850</v>
      </c>
      <c r="P1535" s="31"/>
      <c r="Q1535" s="31"/>
      <c r="R1535" s="31"/>
      <c r="S1535" s="31"/>
      <c r="T1535" s="31"/>
      <c r="U1535" s="31"/>
      <c r="V1535" s="31"/>
      <c r="W1535" s="31"/>
      <c r="X1535" s="31"/>
      <c r="Y1535" s="31"/>
      <c r="Z1535" s="31"/>
      <c r="AA1535" s="31"/>
      <c r="AB1535" s="31"/>
      <c r="AC1535" s="31"/>
      <c r="AD1535" s="31"/>
      <c r="AE1535" s="31"/>
      <c r="AF1535" s="31"/>
      <c r="AG1535" s="31"/>
    </row>
    <row r="1536" spans="1:33" s="32" customFormat="1" ht="15" customHeight="1">
      <c r="A1536" s="37">
        <v>43529</v>
      </c>
      <c r="B1536" s="20" t="s">
        <v>77</v>
      </c>
      <c r="C1536" s="20" t="s">
        <v>47</v>
      </c>
      <c r="D1536" s="20">
        <v>340</v>
      </c>
      <c r="E1536" s="38">
        <v>2667</v>
      </c>
      <c r="F1536" s="20" t="s">
        <v>8</v>
      </c>
      <c r="G1536" s="43">
        <v>13.4</v>
      </c>
      <c r="H1536" s="20">
        <v>14.4</v>
      </c>
      <c r="I1536" s="43">
        <v>0</v>
      </c>
      <c r="J1536" s="43">
        <v>0</v>
      </c>
      <c r="K1536" s="1">
        <f t="shared" si="2340"/>
        <v>2667</v>
      </c>
      <c r="L1536" s="43">
        <v>0</v>
      </c>
      <c r="M1536" s="43">
        <v>0</v>
      </c>
      <c r="N1536" s="1">
        <f t="shared" si="2316"/>
        <v>1</v>
      </c>
      <c r="O1536" s="1">
        <f t="shared" si="2323"/>
        <v>2667</v>
      </c>
      <c r="P1536" s="31"/>
      <c r="Q1536" s="31"/>
      <c r="R1536" s="31"/>
      <c r="S1536" s="31"/>
      <c r="T1536" s="31"/>
      <c r="U1536" s="31"/>
      <c r="V1536" s="31"/>
      <c r="W1536" s="31"/>
      <c r="X1536" s="31"/>
      <c r="Y1536" s="31"/>
      <c r="Z1536" s="31"/>
      <c r="AA1536" s="31"/>
      <c r="AB1536" s="31"/>
      <c r="AC1536" s="31"/>
      <c r="AD1536" s="31"/>
      <c r="AE1536" s="31"/>
      <c r="AF1536" s="31"/>
      <c r="AG1536" s="31"/>
    </row>
    <row r="1537" spans="1:33" s="32" customFormat="1" ht="15" customHeight="1">
      <c r="A1537" s="37">
        <v>43522</v>
      </c>
      <c r="B1537" s="20" t="s">
        <v>24</v>
      </c>
      <c r="C1537" s="20" t="s">
        <v>47</v>
      </c>
      <c r="D1537" s="20">
        <v>175</v>
      </c>
      <c r="E1537" s="38">
        <v>2000</v>
      </c>
      <c r="F1537" s="20" t="s">
        <v>8</v>
      </c>
      <c r="G1537" s="43">
        <v>3.2</v>
      </c>
      <c r="H1537" s="20">
        <v>4.5</v>
      </c>
      <c r="I1537" s="43">
        <v>6</v>
      </c>
      <c r="J1537" s="53">
        <v>8</v>
      </c>
      <c r="K1537" s="1">
        <f t="shared" ref="K1537:K1541" si="2341">(IF(F1537="SELL",G1537-H1537,IF(F1537="BUY",H1537-G1537)))*E1537</f>
        <v>2599.9999999999995</v>
      </c>
      <c r="L1537" s="51">
        <f>E1537*2</f>
        <v>4000</v>
      </c>
      <c r="M1537" s="51">
        <f>E1537*2</f>
        <v>4000</v>
      </c>
      <c r="N1537" s="1">
        <f t="shared" si="2316"/>
        <v>5.3</v>
      </c>
      <c r="O1537" s="1">
        <f t="shared" si="2323"/>
        <v>10600</v>
      </c>
      <c r="P1537" s="31"/>
      <c r="Q1537" s="31"/>
      <c r="R1537" s="31"/>
      <c r="S1537" s="31"/>
      <c r="T1537" s="31"/>
      <c r="U1537" s="31"/>
      <c r="V1537" s="31"/>
      <c r="W1537" s="31"/>
      <c r="X1537" s="31"/>
      <c r="Y1537" s="31"/>
      <c r="Z1537" s="31"/>
      <c r="AA1537" s="31"/>
      <c r="AB1537" s="31"/>
      <c r="AC1537" s="31"/>
      <c r="AD1537" s="31"/>
      <c r="AE1537" s="31"/>
      <c r="AF1537" s="31"/>
      <c r="AG1537" s="31"/>
    </row>
    <row r="1538" spans="1:33" s="32" customFormat="1" ht="15" customHeight="1">
      <c r="A1538" s="37">
        <v>43522</v>
      </c>
      <c r="B1538" s="20" t="s">
        <v>69</v>
      </c>
      <c r="C1538" s="20" t="s">
        <v>47</v>
      </c>
      <c r="D1538" s="20">
        <v>160</v>
      </c>
      <c r="E1538" s="38">
        <v>2850</v>
      </c>
      <c r="F1538" s="20" t="s">
        <v>8</v>
      </c>
      <c r="G1538" s="43">
        <v>2.5</v>
      </c>
      <c r="H1538" s="20">
        <v>3.5</v>
      </c>
      <c r="I1538" s="43">
        <v>0</v>
      </c>
      <c r="J1538" s="53">
        <v>0</v>
      </c>
      <c r="K1538" s="1">
        <f t="shared" si="2341"/>
        <v>2850</v>
      </c>
      <c r="L1538" s="51">
        <v>0</v>
      </c>
      <c r="M1538" s="51">
        <v>0</v>
      </c>
      <c r="N1538" s="1">
        <f t="shared" si="2316"/>
        <v>1</v>
      </c>
      <c r="O1538" s="1">
        <f t="shared" si="2323"/>
        <v>2850</v>
      </c>
      <c r="P1538" s="31"/>
      <c r="Q1538" s="31"/>
      <c r="R1538" s="31"/>
      <c r="S1538" s="31"/>
      <c r="T1538" s="31"/>
      <c r="U1538" s="31"/>
      <c r="V1538" s="31"/>
      <c r="W1538" s="31"/>
      <c r="X1538" s="31"/>
      <c r="Y1538" s="31"/>
      <c r="Z1538" s="31"/>
      <c r="AA1538" s="31"/>
      <c r="AB1538" s="31"/>
      <c r="AC1538" s="31"/>
      <c r="AD1538" s="31"/>
      <c r="AE1538" s="31"/>
      <c r="AF1538" s="31"/>
      <c r="AG1538" s="31"/>
    </row>
    <row r="1539" spans="1:33" s="32" customFormat="1" ht="15" customHeight="1">
      <c r="A1539" s="37">
        <v>43522</v>
      </c>
      <c r="B1539" s="20" t="s">
        <v>109</v>
      </c>
      <c r="C1539" s="20" t="s">
        <v>47</v>
      </c>
      <c r="D1539" s="20">
        <v>385</v>
      </c>
      <c r="E1539" s="38">
        <v>2400</v>
      </c>
      <c r="F1539" s="20" t="s">
        <v>8</v>
      </c>
      <c r="G1539" s="43">
        <v>4</v>
      </c>
      <c r="H1539" s="20">
        <v>5</v>
      </c>
      <c r="I1539" s="43">
        <v>0</v>
      </c>
      <c r="J1539" s="53">
        <v>0</v>
      </c>
      <c r="K1539" s="1">
        <f t="shared" si="2341"/>
        <v>2400</v>
      </c>
      <c r="L1539" s="51">
        <v>0</v>
      </c>
      <c r="M1539" s="51">
        <v>0</v>
      </c>
      <c r="N1539" s="1">
        <f t="shared" si="2316"/>
        <v>1</v>
      </c>
      <c r="O1539" s="1">
        <f t="shared" si="2323"/>
        <v>2400</v>
      </c>
      <c r="P1539" s="31"/>
      <c r="Q1539" s="31"/>
      <c r="R1539" s="31"/>
      <c r="S1539" s="31"/>
      <c r="T1539" s="31"/>
      <c r="U1539" s="31"/>
      <c r="V1539" s="31"/>
      <c r="W1539" s="31"/>
      <c r="X1539" s="31"/>
      <c r="Y1539" s="31"/>
      <c r="Z1539" s="31"/>
      <c r="AA1539" s="31"/>
      <c r="AB1539" s="31"/>
      <c r="AC1539" s="31"/>
      <c r="AD1539" s="31"/>
      <c r="AE1539" s="31"/>
      <c r="AF1539" s="31"/>
      <c r="AG1539" s="31"/>
    </row>
    <row r="1540" spans="1:33" s="32" customFormat="1" ht="15" customHeight="1">
      <c r="A1540" s="37">
        <v>43522</v>
      </c>
      <c r="B1540" s="20" t="s">
        <v>399</v>
      </c>
      <c r="C1540" s="20" t="s">
        <v>47</v>
      </c>
      <c r="D1540" s="20">
        <v>190</v>
      </c>
      <c r="E1540" s="38">
        <v>2250</v>
      </c>
      <c r="F1540" s="20" t="s">
        <v>8</v>
      </c>
      <c r="G1540" s="43">
        <v>2.5</v>
      </c>
      <c r="H1540" s="20">
        <v>3.5</v>
      </c>
      <c r="I1540" s="43">
        <v>0</v>
      </c>
      <c r="J1540" s="53">
        <v>0</v>
      </c>
      <c r="K1540" s="1">
        <f t="shared" si="2341"/>
        <v>2250</v>
      </c>
      <c r="L1540" s="51">
        <v>0</v>
      </c>
      <c r="M1540" s="51">
        <v>0</v>
      </c>
      <c r="N1540" s="1">
        <f t="shared" si="2316"/>
        <v>1</v>
      </c>
      <c r="O1540" s="1">
        <f t="shared" si="2323"/>
        <v>2250</v>
      </c>
      <c r="P1540" s="31"/>
      <c r="Q1540" s="31"/>
      <c r="R1540" s="31"/>
      <c r="S1540" s="31"/>
      <c r="T1540" s="31"/>
      <c r="U1540" s="31"/>
      <c r="V1540" s="31"/>
      <c r="W1540" s="31"/>
      <c r="X1540" s="31"/>
      <c r="Y1540" s="31"/>
      <c r="Z1540" s="31"/>
      <c r="AA1540" s="31"/>
      <c r="AB1540" s="31"/>
      <c r="AC1540" s="31"/>
      <c r="AD1540" s="31"/>
      <c r="AE1540" s="31"/>
      <c r="AF1540" s="31"/>
      <c r="AG1540" s="31"/>
    </row>
    <row r="1541" spans="1:33" s="32" customFormat="1" ht="15" customHeight="1">
      <c r="A1541" s="37">
        <v>43522</v>
      </c>
      <c r="B1541" s="20" t="s">
        <v>34</v>
      </c>
      <c r="C1541" s="20" t="s">
        <v>46</v>
      </c>
      <c r="D1541" s="20">
        <v>190</v>
      </c>
      <c r="E1541" s="38">
        <v>3500</v>
      </c>
      <c r="F1541" s="20" t="s">
        <v>8</v>
      </c>
      <c r="G1541" s="43">
        <v>3</v>
      </c>
      <c r="H1541" s="20">
        <v>1</v>
      </c>
      <c r="I1541" s="43">
        <v>0</v>
      </c>
      <c r="J1541" s="53">
        <v>0</v>
      </c>
      <c r="K1541" s="1">
        <f t="shared" si="2341"/>
        <v>-7000</v>
      </c>
      <c r="L1541" s="51">
        <v>0</v>
      </c>
      <c r="M1541" s="51">
        <v>0</v>
      </c>
      <c r="N1541" s="1">
        <f t="shared" si="2316"/>
        <v>-2</v>
      </c>
      <c r="O1541" s="1">
        <f t="shared" si="2323"/>
        <v>-7000</v>
      </c>
      <c r="P1541" s="31"/>
      <c r="Q1541" s="31"/>
      <c r="R1541" s="31"/>
      <c r="S1541" s="31"/>
      <c r="T1541" s="31"/>
      <c r="U1541" s="31"/>
      <c r="V1541" s="31"/>
      <c r="W1541" s="31"/>
      <c r="X1541" s="31"/>
      <c r="Y1541" s="31"/>
      <c r="Z1541" s="31"/>
      <c r="AA1541" s="31"/>
      <c r="AB1541" s="31"/>
      <c r="AC1541" s="31"/>
      <c r="AD1541" s="31"/>
      <c r="AE1541" s="31"/>
      <c r="AF1541" s="31"/>
      <c r="AG1541" s="31"/>
    </row>
    <row r="1542" spans="1:33" s="32" customFormat="1" ht="15" customHeight="1">
      <c r="A1542" s="37">
        <v>43521</v>
      </c>
      <c r="B1542" s="20" t="s">
        <v>67</v>
      </c>
      <c r="C1542" s="20" t="s">
        <v>47</v>
      </c>
      <c r="D1542" s="20">
        <v>840</v>
      </c>
      <c r="E1542" s="38">
        <v>1200</v>
      </c>
      <c r="F1542" s="20" t="s">
        <v>8</v>
      </c>
      <c r="G1542" s="43">
        <v>7</v>
      </c>
      <c r="H1542" s="20">
        <v>9</v>
      </c>
      <c r="I1542" s="43">
        <v>12</v>
      </c>
      <c r="J1542" s="53">
        <v>15</v>
      </c>
      <c r="K1542" s="1">
        <f t="shared" ref="K1542:K1543" si="2342">(IF(F1542="SELL",G1542-H1542,IF(F1542="BUY",H1542-G1542)))*E1542</f>
        <v>2400</v>
      </c>
      <c r="L1542" s="51">
        <f>E1542*3</f>
        <v>3600</v>
      </c>
      <c r="M1542" s="51">
        <f>E1542*3</f>
        <v>3600</v>
      </c>
      <c r="N1542" s="1">
        <f t="shared" si="2316"/>
        <v>8</v>
      </c>
      <c r="O1542" s="1">
        <f t="shared" si="2323"/>
        <v>9600</v>
      </c>
      <c r="P1542" s="31"/>
      <c r="Q1542" s="31"/>
      <c r="R1542" s="31"/>
      <c r="S1542" s="31"/>
      <c r="T1542" s="31"/>
      <c r="U1542" s="31"/>
      <c r="V1542" s="31"/>
      <c r="W1542" s="31"/>
      <c r="X1542" s="31"/>
      <c r="Y1542" s="31"/>
      <c r="Z1542" s="31"/>
      <c r="AA1542" s="31"/>
      <c r="AB1542" s="31"/>
      <c r="AC1542" s="31"/>
      <c r="AD1542" s="31"/>
      <c r="AE1542" s="31"/>
      <c r="AF1542" s="31"/>
      <c r="AG1542" s="31"/>
    </row>
    <row r="1543" spans="1:33" s="32" customFormat="1" ht="15" customHeight="1">
      <c r="A1543" s="37">
        <v>43521</v>
      </c>
      <c r="B1543" s="20" t="s">
        <v>406</v>
      </c>
      <c r="C1543" s="20" t="s">
        <v>47</v>
      </c>
      <c r="D1543" s="20">
        <v>440</v>
      </c>
      <c r="E1543" s="38">
        <v>1250</v>
      </c>
      <c r="F1543" s="20" t="s">
        <v>8</v>
      </c>
      <c r="G1543" s="43">
        <v>4.5</v>
      </c>
      <c r="H1543" s="20">
        <v>2</v>
      </c>
      <c r="I1543" s="43">
        <v>0</v>
      </c>
      <c r="J1543" s="53">
        <v>0</v>
      </c>
      <c r="K1543" s="1">
        <f t="shared" si="2342"/>
        <v>-3125</v>
      </c>
      <c r="L1543" s="51">
        <v>0</v>
      </c>
      <c r="M1543" s="51">
        <v>0</v>
      </c>
      <c r="N1543" s="1">
        <f t="shared" si="2316"/>
        <v>-2.5</v>
      </c>
      <c r="O1543" s="1">
        <f t="shared" si="2323"/>
        <v>-3125</v>
      </c>
      <c r="P1543" s="31"/>
      <c r="Q1543" s="31"/>
      <c r="R1543" s="31"/>
      <c r="S1543" s="31"/>
      <c r="T1543" s="31"/>
      <c r="U1543" s="31"/>
      <c r="V1543" s="31"/>
      <c r="W1543" s="31"/>
      <c r="X1543" s="31"/>
      <c r="Y1543" s="31"/>
      <c r="Z1543" s="31"/>
      <c r="AA1543" s="31"/>
      <c r="AB1543" s="31"/>
      <c r="AC1543" s="31"/>
      <c r="AD1543" s="31"/>
      <c r="AE1543" s="31"/>
      <c r="AF1543" s="31"/>
      <c r="AG1543" s="31"/>
    </row>
    <row r="1544" spans="1:33" s="32" customFormat="1" ht="15" customHeight="1">
      <c r="A1544" s="37">
        <v>43518</v>
      </c>
      <c r="B1544" s="20" t="s">
        <v>24</v>
      </c>
      <c r="C1544" s="20" t="s">
        <v>47</v>
      </c>
      <c r="D1544" s="20">
        <v>170</v>
      </c>
      <c r="E1544" s="38">
        <v>2000</v>
      </c>
      <c r="F1544" s="20" t="s">
        <v>8</v>
      </c>
      <c r="G1544" s="43">
        <v>4</v>
      </c>
      <c r="H1544" s="20">
        <v>5.5</v>
      </c>
      <c r="I1544" s="43">
        <v>0</v>
      </c>
      <c r="J1544" s="53">
        <v>0</v>
      </c>
      <c r="K1544" s="1">
        <f t="shared" ref="K1544" si="2343">(IF(F1544="SELL",G1544-H1544,IF(F1544="BUY",H1544-G1544)))*E1544</f>
        <v>3000</v>
      </c>
      <c r="L1544" s="51">
        <v>0</v>
      </c>
      <c r="M1544" s="51">
        <v>0</v>
      </c>
      <c r="N1544" s="1">
        <f t="shared" si="2316"/>
        <v>1.5</v>
      </c>
      <c r="O1544" s="1">
        <f t="shared" si="2323"/>
        <v>3000</v>
      </c>
      <c r="P1544" s="31"/>
      <c r="Q1544" s="31"/>
      <c r="R1544" s="31"/>
      <c r="S1544" s="31"/>
      <c r="T1544" s="31"/>
      <c r="U1544" s="31"/>
      <c r="V1544" s="31"/>
      <c r="W1544" s="31"/>
      <c r="X1544" s="31"/>
      <c r="Y1544" s="31"/>
      <c r="Z1544" s="31"/>
      <c r="AA1544" s="31"/>
      <c r="AB1544" s="31"/>
      <c r="AC1544" s="31"/>
      <c r="AD1544" s="31"/>
      <c r="AE1544" s="31"/>
      <c r="AF1544" s="31"/>
      <c r="AG1544" s="31"/>
    </row>
    <row r="1545" spans="1:33" s="32" customFormat="1" ht="15" customHeight="1">
      <c r="A1545" s="37">
        <v>43518</v>
      </c>
      <c r="B1545" s="20" t="s">
        <v>405</v>
      </c>
      <c r="C1545" s="20" t="s">
        <v>47</v>
      </c>
      <c r="D1545" s="20">
        <v>450</v>
      </c>
      <c r="E1545" s="38">
        <v>1300</v>
      </c>
      <c r="F1545" s="20" t="s">
        <v>8</v>
      </c>
      <c r="G1545" s="43">
        <v>11</v>
      </c>
      <c r="H1545" s="20">
        <v>0</v>
      </c>
      <c r="I1545" s="43">
        <v>0</v>
      </c>
      <c r="J1545" s="53">
        <v>0</v>
      </c>
      <c r="K1545" s="1">
        <v>0</v>
      </c>
      <c r="L1545" s="51">
        <v>0</v>
      </c>
      <c r="M1545" s="51">
        <v>0</v>
      </c>
      <c r="N1545" s="1">
        <f t="shared" si="2316"/>
        <v>0</v>
      </c>
      <c r="O1545" s="1">
        <f t="shared" si="2323"/>
        <v>0</v>
      </c>
      <c r="P1545" s="31"/>
      <c r="Q1545" s="31"/>
      <c r="R1545" s="31"/>
      <c r="S1545" s="31"/>
      <c r="T1545" s="31"/>
      <c r="U1545" s="31"/>
      <c r="V1545" s="31"/>
      <c r="W1545" s="31"/>
      <c r="X1545" s="31"/>
      <c r="Y1545" s="31"/>
      <c r="Z1545" s="31"/>
      <c r="AA1545" s="31"/>
      <c r="AB1545" s="31"/>
      <c r="AC1545" s="31"/>
      <c r="AD1545" s="31"/>
      <c r="AE1545" s="31"/>
      <c r="AF1545" s="31"/>
      <c r="AG1545" s="31"/>
    </row>
    <row r="1546" spans="1:33" s="32" customFormat="1" ht="15" customHeight="1">
      <c r="A1546" s="37">
        <v>43517</v>
      </c>
      <c r="B1546" s="20" t="s">
        <v>54</v>
      </c>
      <c r="C1546" s="20" t="s">
        <v>47</v>
      </c>
      <c r="D1546" s="20">
        <v>580</v>
      </c>
      <c r="E1546" s="38">
        <v>1000</v>
      </c>
      <c r="F1546" s="20" t="s">
        <v>8</v>
      </c>
      <c r="G1546" s="43">
        <v>10</v>
      </c>
      <c r="H1546" s="20">
        <v>12.5</v>
      </c>
      <c r="I1546" s="43">
        <v>16</v>
      </c>
      <c r="J1546" s="53">
        <v>0</v>
      </c>
      <c r="K1546" s="1">
        <f>(IF(F1546="SELL",G1546-H1546,IF(F1546="BUY",H1546-G1546)))*E1546</f>
        <v>2500</v>
      </c>
      <c r="L1546" s="51">
        <f>E1546*4</f>
        <v>4000</v>
      </c>
      <c r="M1546" s="51">
        <v>0</v>
      </c>
      <c r="N1546" s="1">
        <f t="shared" si="2316"/>
        <v>6.5</v>
      </c>
      <c r="O1546" s="1">
        <f t="shared" si="2323"/>
        <v>6500</v>
      </c>
      <c r="P1546" s="31"/>
      <c r="Q1546" s="31"/>
      <c r="R1546" s="31"/>
      <c r="S1546" s="31"/>
      <c r="T1546" s="31"/>
      <c r="U1546" s="31"/>
      <c r="V1546" s="31"/>
      <c r="W1546" s="31"/>
      <c r="X1546" s="31"/>
      <c r="Y1546" s="31"/>
      <c r="Z1546" s="31"/>
      <c r="AA1546" s="31"/>
      <c r="AB1546" s="31"/>
      <c r="AC1546" s="31"/>
      <c r="AD1546" s="31"/>
      <c r="AE1546" s="31"/>
      <c r="AF1546" s="31"/>
      <c r="AG1546" s="31"/>
    </row>
    <row r="1547" spans="1:33" s="32" customFormat="1" ht="15" customHeight="1">
      <c r="A1547" s="37">
        <v>43517</v>
      </c>
      <c r="B1547" s="20" t="s">
        <v>368</v>
      </c>
      <c r="C1547" s="20" t="s">
        <v>47</v>
      </c>
      <c r="D1547" s="20">
        <v>450</v>
      </c>
      <c r="E1547" s="38">
        <v>1300</v>
      </c>
      <c r="F1547" s="20" t="s">
        <v>8</v>
      </c>
      <c r="G1547" s="43">
        <v>12.5</v>
      </c>
      <c r="H1547" s="20">
        <v>14</v>
      </c>
      <c r="I1547" s="43">
        <v>0</v>
      </c>
      <c r="J1547" s="53">
        <v>0</v>
      </c>
      <c r="K1547" s="1">
        <f t="shared" ref="K1547:K1548" si="2344">(IF(F1547="SELL",G1547-H1547,IF(F1547="BUY",H1547-G1547)))*E1547</f>
        <v>1950</v>
      </c>
      <c r="L1547" s="51">
        <v>0</v>
      </c>
      <c r="M1547" s="51">
        <v>0</v>
      </c>
      <c r="N1547" s="1">
        <f t="shared" si="2316"/>
        <v>1.5</v>
      </c>
      <c r="O1547" s="1">
        <f t="shared" si="2323"/>
        <v>1950</v>
      </c>
      <c r="P1547" s="31"/>
      <c r="Q1547" s="31"/>
      <c r="R1547" s="31"/>
      <c r="S1547" s="31"/>
      <c r="T1547" s="31"/>
      <c r="U1547" s="31"/>
      <c r="V1547" s="31"/>
      <c r="W1547" s="31"/>
      <c r="X1547" s="31"/>
      <c r="Y1547" s="31"/>
      <c r="Z1547" s="31"/>
      <c r="AA1547" s="31"/>
      <c r="AB1547" s="31"/>
      <c r="AC1547" s="31"/>
      <c r="AD1547" s="31"/>
      <c r="AE1547" s="31"/>
      <c r="AF1547" s="31"/>
      <c r="AG1547" s="31"/>
    </row>
    <row r="1548" spans="1:33" s="32" customFormat="1" ht="15" customHeight="1">
      <c r="A1548" s="37">
        <v>43517</v>
      </c>
      <c r="B1548" s="20" t="s">
        <v>24</v>
      </c>
      <c r="C1548" s="20" t="s">
        <v>47</v>
      </c>
      <c r="D1548" s="20">
        <v>170</v>
      </c>
      <c r="E1548" s="38">
        <v>2000</v>
      </c>
      <c r="F1548" s="20" t="s">
        <v>8</v>
      </c>
      <c r="G1548" s="43">
        <v>2.5</v>
      </c>
      <c r="H1548" s="20">
        <v>3.55</v>
      </c>
      <c r="I1548" s="43">
        <v>0</v>
      </c>
      <c r="J1548" s="53">
        <v>0</v>
      </c>
      <c r="K1548" s="1">
        <f t="shared" si="2344"/>
        <v>2099.9999999999995</v>
      </c>
      <c r="L1548" s="51">
        <v>0</v>
      </c>
      <c r="M1548" s="51">
        <v>0</v>
      </c>
      <c r="N1548" s="1">
        <f t="shared" si="2316"/>
        <v>1.0499999999999998</v>
      </c>
      <c r="O1548" s="1">
        <f t="shared" si="2323"/>
        <v>2099.9999999999995</v>
      </c>
      <c r="P1548" s="31"/>
      <c r="Q1548" s="31"/>
      <c r="R1548" s="31"/>
      <c r="S1548" s="31"/>
      <c r="T1548" s="31"/>
      <c r="U1548" s="31"/>
      <c r="V1548" s="31"/>
      <c r="W1548" s="31"/>
      <c r="X1548" s="31"/>
      <c r="Y1548" s="31"/>
      <c r="Z1548" s="31"/>
      <c r="AA1548" s="31"/>
      <c r="AB1548" s="31"/>
      <c r="AC1548" s="31"/>
      <c r="AD1548" s="31"/>
      <c r="AE1548" s="31"/>
      <c r="AF1548" s="31"/>
      <c r="AG1548" s="31"/>
    </row>
    <row r="1549" spans="1:33" s="32" customFormat="1" ht="15" customHeight="1">
      <c r="A1549" s="37">
        <v>43516</v>
      </c>
      <c r="B1549" s="20" t="s">
        <v>404</v>
      </c>
      <c r="C1549" s="20" t="s">
        <v>47</v>
      </c>
      <c r="D1549" s="20">
        <v>130</v>
      </c>
      <c r="E1549" s="38">
        <v>6000</v>
      </c>
      <c r="F1549" s="20" t="s">
        <v>8</v>
      </c>
      <c r="G1549" s="43">
        <v>1.7</v>
      </c>
      <c r="H1549" s="20">
        <v>2</v>
      </c>
      <c r="I1549" s="43">
        <v>0</v>
      </c>
      <c r="J1549" s="53">
        <v>0</v>
      </c>
      <c r="K1549" s="1">
        <f t="shared" ref="K1549:K1551" si="2345">(IF(F1549="SELL",G1549-H1549,IF(F1549="BUY",H1549-G1549)))*E1549</f>
        <v>1800.0000000000002</v>
      </c>
      <c r="L1549" s="51">
        <v>0</v>
      </c>
      <c r="M1549" s="51">
        <v>0</v>
      </c>
      <c r="N1549" s="1">
        <f t="shared" si="2316"/>
        <v>0.30000000000000004</v>
      </c>
      <c r="O1549" s="1">
        <f t="shared" si="2323"/>
        <v>1800.0000000000002</v>
      </c>
      <c r="P1549" s="31"/>
      <c r="Q1549" s="31"/>
      <c r="R1549" s="31"/>
      <c r="S1549" s="31"/>
      <c r="T1549" s="31"/>
      <c r="U1549" s="31"/>
      <c r="V1549" s="31"/>
      <c r="W1549" s="31"/>
      <c r="X1549" s="31"/>
      <c r="Y1549" s="31"/>
      <c r="Z1549" s="31"/>
      <c r="AA1549" s="31"/>
      <c r="AB1549" s="31"/>
      <c r="AC1549" s="31"/>
      <c r="AD1549" s="31"/>
      <c r="AE1549" s="31"/>
      <c r="AF1549" s="31"/>
      <c r="AG1549" s="31"/>
    </row>
    <row r="1550" spans="1:33" s="32" customFormat="1" ht="15" customHeight="1">
      <c r="A1550" s="37">
        <v>43516</v>
      </c>
      <c r="B1550" s="20" t="s">
        <v>72</v>
      </c>
      <c r="C1550" s="20" t="s">
        <v>47</v>
      </c>
      <c r="D1550" s="20">
        <v>340</v>
      </c>
      <c r="E1550" s="38">
        <v>1800</v>
      </c>
      <c r="F1550" s="20" t="s">
        <v>8</v>
      </c>
      <c r="G1550" s="43">
        <v>4</v>
      </c>
      <c r="H1550" s="20">
        <v>0</v>
      </c>
      <c r="I1550" s="43">
        <v>0</v>
      </c>
      <c r="J1550" s="53">
        <v>0</v>
      </c>
      <c r="K1550" s="1">
        <v>0</v>
      </c>
      <c r="L1550" s="51">
        <v>0</v>
      </c>
      <c r="M1550" s="51">
        <v>0</v>
      </c>
      <c r="N1550" s="1">
        <f t="shared" si="2316"/>
        <v>0</v>
      </c>
      <c r="O1550" s="1">
        <f t="shared" si="2323"/>
        <v>0</v>
      </c>
      <c r="P1550" s="31"/>
      <c r="Q1550" s="31"/>
      <c r="R1550" s="31"/>
      <c r="S1550" s="31"/>
      <c r="T1550" s="31"/>
      <c r="U1550" s="31"/>
      <c r="V1550" s="31"/>
      <c r="W1550" s="31"/>
      <c r="X1550" s="31"/>
      <c r="Y1550" s="31"/>
      <c r="Z1550" s="31"/>
      <c r="AA1550" s="31"/>
      <c r="AB1550" s="31"/>
      <c r="AC1550" s="31"/>
      <c r="AD1550" s="31"/>
      <c r="AE1550" s="31"/>
      <c r="AF1550" s="31"/>
      <c r="AG1550" s="31"/>
    </row>
    <row r="1551" spans="1:33" s="32" customFormat="1" ht="15" customHeight="1">
      <c r="A1551" s="37">
        <v>43516</v>
      </c>
      <c r="B1551" s="20" t="s">
        <v>39</v>
      </c>
      <c r="C1551" s="20" t="s">
        <v>47</v>
      </c>
      <c r="D1551" s="20">
        <v>1240</v>
      </c>
      <c r="E1551" s="38">
        <v>500</v>
      </c>
      <c r="F1551" s="20" t="s">
        <v>8</v>
      </c>
      <c r="G1551" s="43">
        <v>20</v>
      </c>
      <c r="H1551" s="20">
        <v>21.2</v>
      </c>
      <c r="I1551" s="43">
        <v>0</v>
      </c>
      <c r="J1551" s="53">
        <v>0</v>
      </c>
      <c r="K1551" s="1">
        <f t="shared" si="2345"/>
        <v>599.99999999999966</v>
      </c>
      <c r="L1551" s="51">
        <v>0</v>
      </c>
      <c r="M1551" s="51">
        <v>0</v>
      </c>
      <c r="N1551" s="1">
        <f t="shared" si="2316"/>
        <v>1.1999999999999993</v>
      </c>
      <c r="O1551" s="1">
        <f t="shared" si="2323"/>
        <v>599.99999999999966</v>
      </c>
      <c r="P1551" s="31"/>
      <c r="Q1551" s="31"/>
      <c r="R1551" s="31"/>
      <c r="S1551" s="31"/>
      <c r="T1551" s="31"/>
      <c r="U1551" s="31"/>
      <c r="V1551" s="31"/>
      <c r="W1551" s="31"/>
      <c r="X1551" s="31"/>
      <c r="Y1551" s="31"/>
      <c r="Z1551" s="31"/>
      <c r="AA1551" s="31"/>
      <c r="AB1551" s="31"/>
      <c r="AC1551" s="31"/>
      <c r="AD1551" s="31"/>
      <c r="AE1551" s="31"/>
      <c r="AF1551" s="31"/>
      <c r="AG1551" s="31"/>
    </row>
    <row r="1552" spans="1:33" s="32" customFormat="1" ht="15" customHeight="1">
      <c r="A1552" s="37">
        <v>43515</v>
      </c>
      <c r="B1552" s="20" t="s">
        <v>403</v>
      </c>
      <c r="C1552" s="20" t="s">
        <v>47</v>
      </c>
      <c r="D1552" s="20">
        <v>350</v>
      </c>
      <c r="E1552" s="38">
        <v>2750</v>
      </c>
      <c r="F1552" s="20" t="s">
        <v>8</v>
      </c>
      <c r="G1552" s="43">
        <v>5.5</v>
      </c>
      <c r="H1552" s="20">
        <v>6.5</v>
      </c>
      <c r="I1552" s="43">
        <v>0</v>
      </c>
      <c r="J1552" s="53">
        <v>0</v>
      </c>
      <c r="K1552" s="1">
        <f t="shared" ref="K1552" si="2346">(IF(F1552="SELL",G1552-H1552,IF(F1552="BUY",H1552-G1552)))*E1552</f>
        <v>2750</v>
      </c>
      <c r="L1552" s="51">
        <v>0</v>
      </c>
      <c r="M1552" s="51">
        <v>0</v>
      </c>
      <c r="N1552" s="1">
        <f t="shared" si="2316"/>
        <v>1</v>
      </c>
      <c r="O1552" s="1">
        <f t="shared" si="2323"/>
        <v>2750</v>
      </c>
      <c r="P1552" s="31"/>
      <c r="Q1552" s="31"/>
      <c r="R1552" s="31"/>
      <c r="S1552" s="31"/>
      <c r="T1552" s="31"/>
      <c r="U1552" s="31"/>
      <c r="V1552" s="31"/>
      <c r="W1552" s="31"/>
      <c r="X1552" s="31"/>
      <c r="Y1552" s="31"/>
      <c r="Z1552" s="31"/>
      <c r="AA1552" s="31"/>
      <c r="AB1552" s="31"/>
      <c r="AC1552" s="31"/>
      <c r="AD1552" s="31"/>
      <c r="AE1552" s="31"/>
      <c r="AF1552" s="31"/>
      <c r="AG1552" s="31"/>
    </row>
    <row r="1553" spans="1:33" s="32" customFormat="1" ht="15" customHeight="1">
      <c r="A1553" s="37">
        <v>43515</v>
      </c>
      <c r="B1553" s="20" t="s">
        <v>131</v>
      </c>
      <c r="C1553" s="20" t="s">
        <v>47</v>
      </c>
      <c r="D1553" s="20">
        <v>200</v>
      </c>
      <c r="E1553" s="38">
        <v>2500</v>
      </c>
      <c r="F1553" s="20" t="s">
        <v>8</v>
      </c>
      <c r="G1553" s="43">
        <v>3</v>
      </c>
      <c r="H1553" s="20">
        <v>3</v>
      </c>
      <c r="I1553" s="43">
        <v>0</v>
      </c>
      <c r="J1553" s="53">
        <v>0</v>
      </c>
      <c r="K1553" s="1">
        <f t="shared" ref="K1553:K1554" si="2347">(IF(F1553="SELL",G1553-H1553,IF(F1553="BUY",H1553-G1553)))*E1553</f>
        <v>0</v>
      </c>
      <c r="L1553" s="51">
        <v>0</v>
      </c>
      <c r="M1553" s="51">
        <v>0</v>
      </c>
      <c r="N1553" s="1">
        <f t="shared" si="2316"/>
        <v>0</v>
      </c>
      <c r="O1553" s="1">
        <f t="shared" si="2323"/>
        <v>0</v>
      </c>
      <c r="P1553" s="31"/>
      <c r="Q1553" s="31"/>
      <c r="R1553" s="31"/>
      <c r="S1553" s="31"/>
      <c r="T1553" s="31"/>
      <c r="U1553" s="31"/>
      <c r="V1553" s="31"/>
      <c r="W1553" s="31"/>
      <c r="X1553" s="31"/>
      <c r="Y1553" s="31"/>
      <c r="Z1553" s="31"/>
      <c r="AA1553" s="31"/>
      <c r="AB1553" s="31"/>
      <c r="AC1553" s="31"/>
      <c r="AD1553" s="31"/>
      <c r="AE1553" s="31"/>
      <c r="AF1553" s="31"/>
      <c r="AG1553" s="31"/>
    </row>
    <row r="1554" spans="1:33" s="32" customFormat="1" ht="15" customHeight="1">
      <c r="A1554" s="37">
        <v>43515</v>
      </c>
      <c r="B1554" s="20" t="s">
        <v>39</v>
      </c>
      <c r="C1554" s="20" t="s">
        <v>47</v>
      </c>
      <c r="D1554" s="20">
        <v>1240</v>
      </c>
      <c r="E1554" s="38">
        <v>500</v>
      </c>
      <c r="F1554" s="20" t="s">
        <v>8</v>
      </c>
      <c r="G1554" s="43">
        <v>25</v>
      </c>
      <c r="H1554" s="20">
        <v>19</v>
      </c>
      <c r="I1554" s="43">
        <v>0</v>
      </c>
      <c r="J1554" s="53">
        <v>0</v>
      </c>
      <c r="K1554" s="1">
        <f t="shared" si="2347"/>
        <v>-3000</v>
      </c>
      <c r="L1554" s="51">
        <v>0</v>
      </c>
      <c r="M1554" s="51">
        <v>0</v>
      </c>
      <c r="N1554" s="1">
        <f t="shared" si="2316"/>
        <v>-6</v>
      </c>
      <c r="O1554" s="1">
        <f t="shared" si="2323"/>
        <v>-3000</v>
      </c>
      <c r="P1554" s="31"/>
      <c r="Q1554" s="31"/>
      <c r="R1554" s="31"/>
      <c r="S1554" s="31"/>
      <c r="T1554" s="31"/>
      <c r="U1554" s="31"/>
      <c r="V1554" s="31"/>
      <c r="W1554" s="31"/>
      <c r="X1554" s="31"/>
      <c r="Y1554" s="31"/>
      <c r="Z1554" s="31"/>
      <c r="AA1554" s="31"/>
      <c r="AB1554" s="31"/>
      <c r="AC1554" s="31"/>
      <c r="AD1554" s="31"/>
      <c r="AE1554" s="31"/>
      <c r="AF1554" s="31"/>
      <c r="AG1554" s="31"/>
    </row>
    <row r="1555" spans="1:33" s="32" customFormat="1" ht="15" customHeight="1">
      <c r="A1555" s="37">
        <v>43514</v>
      </c>
      <c r="B1555" s="20" t="s">
        <v>368</v>
      </c>
      <c r="C1555" s="20" t="s">
        <v>47</v>
      </c>
      <c r="D1555" s="20">
        <v>440</v>
      </c>
      <c r="E1555" s="38">
        <v>1300</v>
      </c>
      <c r="F1555" s="20" t="s">
        <v>8</v>
      </c>
      <c r="G1555" s="43">
        <v>15.5</v>
      </c>
      <c r="H1555" s="20">
        <v>17.5</v>
      </c>
      <c r="I1555" s="43">
        <v>0</v>
      </c>
      <c r="J1555" s="53">
        <v>0</v>
      </c>
      <c r="K1555" s="1">
        <f t="shared" ref="K1555:K1557" si="2348">(IF(F1555="SELL",G1555-H1555,IF(F1555="BUY",H1555-G1555)))*E1555</f>
        <v>2600</v>
      </c>
      <c r="L1555" s="51">
        <v>0</v>
      </c>
      <c r="M1555" s="51">
        <v>0</v>
      </c>
      <c r="N1555" s="1">
        <f t="shared" si="2316"/>
        <v>2</v>
      </c>
      <c r="O1555" s="1">
        <f t="shared" si="2323"/>
        <v>2600</v>
      </c>
      <c r="P1555" s="31"/>
      <c r="Q1555" s="31"/>
      <c r="R1555" s="31"/>
      <c r="S1555" s="31"/>
      <c r="T1555" s="31"/>
      <c r="U1555" s="31"/>
      <c r="V1555" s="31"/>
      <c r="W1555" s="31"/>
      <c r="X1555" s="31"/>
      <c r="Y1555" s="31"/>
      <c r="Z1555" s="31"/>
      <c r="AA1555" s="31"/>
      <c r="AB1555" s="31"/>
      <c r="AC1555" s="31"/>
      <c r="AD1555" s="31"/>
      <c r="AE1555" s="31"/>
      <c r="AF1555" s="31"/>
      <c r="AG1555" s="31"/>
    </row>
    <row r="1556" spans="1:33" s="32" customFormat="1" ht="15" customHeight="1">
      <c r="A1556" s="37">
        <v>43514</v>
      </c>
      <c r="B1556" s="20" t="s">
        <v>402</v>
      </c>
      <c r="C1556" s="20" t="s">
        <v>46</v>
      </c>
      <c r="D1556" s="20">
        <v>1220</v>
      </c>
      <c r="E1556" s="38">
        <v>500</v>
      </c>
      <c r="F1556" s="20" t="s">
        <v>8</v>
      </c>
      <c r="G1556" s="43">
        <v>26</v>
      </c>
      <c r="H1556" s="20">
        <v>29</v>
      </c>
      <c r="I1556" s="43">
        <v>0</v>
      </c>
      <c r="J1556" s="53">
        <v>0</v>
      </c>
      <c r="K1556" s="1">
        <f t="shared" si="2348"/>
        <v>1500</v>
      </c>
      <c r="L1556" s="51">
        <v>0</v>
      </c>
      <c r="M1556" s="51">
        <v>0</v>
      </c>
      <c r="N1556" s="1">
        <f t="shared" si="2316"/>
        <v>3</v>
      </c>
      <c r="O1556" s="1">
        <f t="shared" si="2323"/>
        <v>1500</v>
      </c>
      <c r="P1556" s="31"/>
      <c r="Q1556" s="31"/>
      <c r="R1556" s="31"/>
      <c r="S1556" s="31"/>
      <c r="T1556" s="31"/>
      <c r="U1556" s="31"/>
      <c r="V1556" s="31"/>
      <c r="W1556" s="31"/>
      <c r="X1556" s="31"/>
      <c r="Y1556" s="31"/>
      <c r="Z1556" s="31"/>
      <c r="AA1556" s="31"/>
      <c r="AB1556" s="31"/>
      <c r="AC1556" s="31"/>
      <c r="AD1556" s="31"/>
      <c r="AE1556" s="31"/>
      <c r="AF1556" s="31"/>
      <c r="AG1556" s="31"/>
    </row>
    <row r="1557" spans="1:33" s="32" customFormat="1" ht="15" customHeight="1">
      <c r="A1557" s="37">
        <v>43514</v>
      </c>
      <c r="B1557" s="20" t="s">
        <v>162</v>
      </c>
      <c r="C1557" s="20" t="s">
        <v>47</v>
      </c>
      <c r="D1557" s="20">
        <v>1300</v>
      </c>
      <c r="E1557" s="38">
        <v>500</v>
      </c>
      <c r="F1557" s="20" t="s">
        <v>8</v>
      </c>
      <c r="G1557" s="43">
        <v>41</v>
      </c>
      <c r="H1557" s="20">
        <v>35</v>
      </c>
      <c r="I1557" s="43">
        <v>0</v>
      </c>
      <c r="J1557" s="53">
        <v>0</v>
      </c>
      <c r="K1557" s="1">
        <f t="shared" si="2348"/>
        <v>-3000</v>
      </c>
      <c r="L1557" s="51">
        <v>0</v>
      </c>
      <c r="M1557" s="51">
        <v>0</v>
      </c>
      <c r="N1557" s="1">
        <f t="shared" ref="N1557:N1620" si="2349">(L1557+K1557+M1557)/E1557</f>
        <v>-6</v>
      </c>
      <c r="O1557" s="1">
        <f t="shared" si="2323"/>
        <v>-3000</v>
      </c>
      <c r="P1557" s="31"/>
      <c r="Q1557" s="31"/>
      <c r="R1557" s="31"/>
      <c r="S1557" s="31"/>
      <c r="T1557" s="31"/>
      <c r="U1557" s="31"/>
      <c r="V1557" s="31"/>
      <c r="W1557" s="31"/>
      <c r="X1557" s="31"/>
      <c r="Y1557" s="31"/>
      <c r="Z1557" s="31"/>
      <c r="AA1557" s="31"/>
      <c r="AB1557" s="31"/>
      <c r="AC1557" s="31"/>
      <c r="AD1557" s="31"/>
      <c r="AE1557" s="31"/>
      <c r="AF1557" s="31"/>
      <c r="AG1557" s="31"/>
    </row>
    <row r="1558" spans="1:33" s="32" customFormat="1" ht="15" customHeight="1">
      <c r="A1558" s="37">
        <v>43514</v>
      </c>
      <c r="B1558" s="20" t="s">
        <v>269</v>
      </c>
      <c r="C1558" s="20" t="s">
        <v>47</v>
      </c>
      <c r="D1558" s="20">
        <v>47</v>
      </c>
      <c r="E1558" s="38">
        <v>12000</v>
      </c>
      <c r="F1558" s="20" t="s">
        <v>8</v>
      </c>
      <c r="G1558" s="43">
        <v>1</v>
      </c>
      <c r="H1558" s="20">
        <v>0</v>
      </c>
      <c r="I1558" s="43">
        <v>0</v>
      </c>
      <c r="J1558" s="53">
        <v>0</v>
      </c>
      <c r="K1558" s="1">
        <v>0</v>
      </c>
      <c r="L1558" s="51">
        <v>0</v>
      </c>
      <c r="M1558" s="51">
        <v>0</v>
      </c>
      <c r="N1558" s="1">
        <f t="shared" si="2349"/>
        <v>0</v>
      </c>
      <c r="O1558" s="1">
        <f t="shared" si="2323"/>
        <v>0</v>
      </c>
      <c r="P1558" s="31"/>
      <c r="Q1558" s="31"/>
      <c r="R1558" s="31"/>
      <c r="S1558" s="31"/>
      <c r="T1558" s="31"/>
      <c r="U1558" s="31"/>
      <c r="V1558" s="31"/>
      <c r="W1558" s="31"/>
      <c r="X1558" s="31"/>
      <c r="Y1558" s="31"/>
      <c r="Z1558" s="31"/>
      <c r="AA1558" s="31"/>
      <c r="AB1558" s="31"/>
      <c r="AC1558" s="31"/>
      <c r="AD1558" s="31"/>
      <c r="AE1558" s="31"/>
      <c r="AF1558" s="31"/>
      <c r="AG1558" s="31"/>
    </row>
    <row r="1559" spans="1:33" s="32" customFormat="1" ht="15" customHeight="1">
      <c r="A1559" s="37">
        <v>43511</v>
      </c>
      <c r="B1559" s="20" t="s">
        <v>34</v>
      </c>
      <c r="C1559" s="20" t="s">
        <v>46</v>
      </c>
      <c r="D1559" s="20">
        <v>185</v>
      </c>
      <c r="E1559" s="38">
        <v>3500</v>
      </c>
      <c r="F1559" s="20" t="s">
        <v>8</v>
      </c>
      <c r="G1559" s="43">
        <v>4.75</v>
      </c>
      <c r="H1559" s="20">
        <v>5.75</v>
      </c>
      <c r="I1559" s="43">
        <v>6.75</v>
      </c>
      <c r="J1559" s="53">
        <v>0</v>
      </c>
      <c r="K1559" s="1">
        <f t="shared" ref="K1559:K1560" si="2350">(IF(F1559="SELL",G1559-H1559,IF(F1559="BUY",H1559-G1559)))*E1559</f>
        <v>3500</v>
      </c>
      <c r="L1559" s="51">
        <f>E1559*1</f>
        <v>3500</v>
      </c>
      <c r="M1559" s="51">
        <v>0</v>
      </c>
      <c r="N1559" s="1">
        <f t="shared" si="2349"/>
        <v>2</v>
      </c>
      <c r="O1559" s="1">
        <f t="shared" si="2323"/>
        <v>7000</v>
      </c>
      <c r="P1559" s="31"/>
      <c r="Q1559" s="31"/>
      <c r="R1559" s="31"/>
      <c r="S1559" s="31"/>
      <c r="T1559" s="31"/>
      <c r="U1559" s="31"/>
      <c r="V1559" s="31"/>
      <c r="W1559" s="31"/>
      <c r="X1559" s="31"/>
      <c r="Y1559" s="31"/>
      <c r="Z1559" s="31"/>
      <c r="AA1559" s="31"/>
      <c r="AB1559" s="31"/>
      <c r="AC1559" s="31"/>
      <c r="AD1559" s="31"/>
      <c r="AE1559" s="31"/>
      <c r="AF1559" s="31"/>
      <c r="AG1559" s="31"/>
    </row>
    <row r="1560" spans="1:33" s="32" customFormat="1" ht="15" customHeight="1">
      <c r="A1560" s="37">
        <v>43511</v>
      </c>
      <c r="B1560" s="20" t="s">
        <v>21</v>
      </c>
      <c r="C1560" s="20" t="s">
        <v>46</v>
      </c>
      <c r="D1560" s="20">
        <v>265</v>
      </c>
      <c r="E1560" s="38">
        <v>3000</v>
      </c>
      <c r="F1560" s="20" t="s">
        <v>8</v>
      </c>
      <c r="G1560" s="43">
        <v>6.5</v>
      </c>
      <c r="H1560" s="20">
        <v>7.3</v>
      </c>
      <c r="I1560" s="43">
        <v>0</v>
      </c>
      <c r="J1560" s="53">
        <v>0</v>
      </c>
      <c r="K1560" s="1">
        <f t="shared" si="2350"/>
        <v>2399.9999999999995</v>
      </c>
      <c r="L1560" s="51">
        <v>0</v>
      </c>
      <c r="M1560" s="51">
        <v>0</v>
      </c>
      <c r="N1560" s="1">
        <f t="shared" si="2349"/>
        <v>0.79999999999999982</v>
      </c>
      <c r="O1560" s="1">
        <f t="shared" si="2323"/>
        <v>2399.9999999999995</v>
      </c>
      <c r="P1560" s="31"/>
      <c r="Q1560" s="31"/>
      <c r="R1560" s="31"/>
      <c r="S1560" s="31"/>
      <c r="T1560" s="31"/>
      <c r="U1560" s="31"/>
      <c r="V1560" s="31"/>
      <c r="W1560" s="31"/>
      <c r="X1560" s="31"/>
      <c r="Y1560" s="31"/>
      <c r="Z1560" s="31"/>
      <c r="AA1560" s="31"/>
      <c r="AB1560" s="31"/>
      <c r="AC1560" s="31"/>
      <c r="AD1560" s="31"/>
      <c r="AE1560" s="31"/>
      <c r="AF1560" s="31"/>
      <c r="AG1560" s="31"/>
    </row>
    <row r="1561" spans="1:33" s="32" customFormat="1" ht="15" customHeight="1">
      <c r="A1561" s="37">
        <v>43509</v>
      </c>
      <c r="B1561" s="20" t="s">
        <v>401</v>
      </c>
      <c r="C1561" s="20" t="s">
        <v>46</v>
      </c>
      <c r="D1561" s="20">
        <v>82.5</v>
      </c>
      <c r="E1561" s="38">
        <v>8000</v>
      </c>
      <c r="F1561" s="20" t="s">
        <v>8</v>
      </c>
      <c r="G1561" s="43">
        <v>2.5</v>
      </c>
      <c r="H1561" s="20">
        <v>3</v>
      </c>
      <c r="I1561" s="43">
        <v>0</v>
      </c>
      <c r="J1561" s="53">
        <v>0</v>
      </c>
      <c r="K1561" s="1">
        <f t="shared" ref="K1561:K1562" si="2351">(IF(F1561="SELL",G1561-H1561,IF(F1561="BUY",H1561-G1561)))*E1561</f>
        <v>4000</v>
      </c>
      <c r="L1561" s="51">
        <v>0</v>
      </c>
      <c r="M1561" s="51">
        <v>0</v>
      </c>
      <c r="N1561" s="1">
        <f t="shared" si="2349"/>
        <v>0.5</v>
      </c>
      <c r="O1561" s="1">
        <f t="shared" si="2323"/>
        <v>4000</v>
      </c>
      <c r="P1561" s="31"/>
      <c r="Q1561" s="31"/>
      <c r="R1561" s="31"/>
      <c r="S1561" s="31"/>
      <c r="T1561" s="31"/>
      <c r="U1561" s="31"/>
      <c r="V1561" s="31"/>
      <c r="W1561" s="31"/>
      <c r="X1561" s="31"/>
      <c r="Y1561" s="31"/>
      <c r="Z1561" s="31"/>
      <c r="AA1561" s="31"/>
      <c r="AB1561" s="31"/>
      <c r="AC1561" s="31"/>
      <c r="AD1561" s="31"/>
      <c r="AE1561" s="31"/>
      <c r="AF1561" s="31"/>
      <c r="AG1561" s="31"/>
    </row>
    <row r="1562" spans="1:33" s="32" customFormat="1" ht="15" customHeight="1">
      <c r="A1562" s="37">
        <v>43509</v>
      </c>
      <c r="B1562" s="20" t="s">
        <v>400</v>
      </c>
      <c r="C1562" s="20" t="s">
        <v>46</v>
      </c>
      <c r="D1562" s="20">
        <v>480</v>
      </c>
      <c r="E1562" s="38">
        <v>1061</v>
      </c>
      <c r="F1562" s="20" t="s">
        <v>8</v>
      </c>
      <c r="G1562" s="43">
        <v>10</v>
      </c>
      <c r="H1562" s="20">
        <v>7</v>
      </c>
      <c r="I1562" s="43">
        <v>0</v>
      </c>
      <c r="J1562" s="53">
        <v>0</v>
      </c>
      <c r="K1562" s="1">
        <f t="shared" si="2351"/>
        <v>-3183</v>
      </c>
      <c r="L1562" s="51">
        <v>0</v>
      </c>
      <c r="M1562" s="51">
        <v>0</v>
      </c>
      <c r="N1562" s="1">
        <f t="shared" si="2349"/>
        <v>-3</v>
      </c>
      <c r="O1562" s="1">
        <f t="shared" si="2323"/>
        <v>-3183</v>
      </c>
      <c r="P1562" s="31"/>
      <c r="Q1562" s="31"/>
      <c r="R1562" s="31"/>
      <c r="S1562" s="31"/>
      <c r="T1562" s="31"/>
      <c r="U1562" s="31"/>
      <c r="V1562" s="31"/>
      <c r="W1562" s="31"/>
      <c r="X1562" s="31"/>
      <c r="Y1562" s="31"/>
      <c r="Z1562" s="31"/>
      <c r="AA1562" s="31"/>
      <c r="AB1562" s="31"/>
      <c r="AC1562" s="31"/>
      <c r="AD1562" s="31"/>
      <c r="AE1562" s="31"/>
      <c r="AF1562" s="31"/>
      <c r="AG1562" s="31"/>
    </row>
    <row r="1563" spans="1:33" s="32" customFormat="1" ht="15" customHeight="1">
      <c r="A1563" s="37">
        <v>43508</v>
      </c>
      <c r="B1563" s="20" t="s">
        <v>72</v>
      </c>
      <c r="C1563" s="20" t="s">
        <v>47</v>
      </c>
      <c r="D1563" s="20">
        <v>340</v>
      </c>
      <c r="E1563" s="38">
        <v>1800</v>
      </c>
      <c r="F1563" s="20" t="s">
        <v>8</v>
      </c>
      <c r="G1563" s="43">
        <v>3.5</v>
      </c>
      <c r="H1563" s="20">
        <v>4.4000000000000004</v>
      </c>
      <c r="I1563" s="43">
        <v>0</v>
      </c>
      <c r="J1563" s="53">
        <v>0</v>
      </c>
      <c r="K1563" s="1">
        <f t="shared" ref="K1563:K1564" si="2352">(IF(F1563="SELL",G1563-H1563,IF(F1563="BUY",H1563-G1563)))*E1563</f>
        <v>1620.0000000000007</v>
      </c>
      <c r="L1563" s="51">
        <v>0</v>
      </c>
      <c r="M1563" s="51">
        <v>0</v>
      </c>
      <c r="N1563" s="1">
        <f t="shared" si="2349"/>
        <v>0.90000000000000036</v>
      </c>
      <c r="O1563" s="1">
        <f t="shared" si="2323"/>
        <v>1620.0000000000007</v>
      </c>
      <c r="P1563" s="31"/>
      <c r="Q1563" s="31"/>
      <c r="R1563" s="31"/>
      <c r="S1563" s="31"/>
      <c r="T1563" s="31"/>
      <c r="U1563" s="31"/>
      <c r="V1563" s="31"/>
      <c r="W1563" s="31"/>
      <c r="X1563" s="31"/>
      <c r="Y1563" s="31"/>
      <c r="Z1563" s="31"/>
      <c r="AA1563" s="31"/>
      <c r="AB1563" s="31"/>
      <c r="AC1563" s="31"/>
      <c r="AD1563" s="31"/>
      <c r="AE1563" s="31"/>
      <c r="AF1563" s="31"/>
      <c r="AG1563" s="31"/>
    </row>
    <row r="1564" spans="1:33" s="32" customFormat="1" ht="15" customHeight="1">
      <c r="A1564" s="37">
        <v>43508</v>
      </c>
      <c r="B1564" s="20" t="s">
        <v>128</v>
      </c>
      <c r="C1564" s="20" t="s">
        <v>47</v>
      </c>
      <c r="D1564" s="20">
        <v>1320</v>
      </c>
      <c r="E1564" s="38">
        <v>800</v>
      </c>
      <c r="F1564" s="20" t="s">
        <v>8</v>
      </c>
      <c r="G1564" s="43">
        <v>23</v>
      </c>
      <c r="H1564" s="20">
        <v>18</v>
      </c>
      <c r="I1564" s="43">
        <v>0</v>
      </c>
      <c r="J1564" s="53">
        <v>0</v>
      </c>
      <c r="K1564" s="1">
        <f t="shared" si="2352"/>
        <v>-4000</v>
      </c>
      <c r="L1564" s="51">
        <v>0</v>
      </c>
      <c r="M1564" s="51">
        <v>0</v>
      </c>
      <c r="N1564" s="1">
        <f t="shared" si="2349"/>
        <v>-5</v>
      </c>
      <c r="O1564" s="1">
        <f t="shared" si="2323"/>
        <v>-4000</v>
      </c>
      <c r="P1564" s="31"/>
      <c r="Q1564" s="31"/>
      <c r="R1564" s="31"/>
      <c r="S1564" s="31"/>
      <c r="T1564" s="31"/>
      <c r="U1564" s="31"/>
      <c r="V1564" s="31"/>
      <c r="W1564" s="31"/>
      <c r="X1564" s="31"/>
      <c r="Y1564" s="31"/>
      <c r="Z1564" s="31"/>
      <c r="AA1564" s="31"/>
      <c r="AB1564" s="31"/>
      <c r="AC1564" s="31"/>
      <c r="AD1564" s="31"/>
      <c r="AE1564" s="31"/>
      <c r="AF1564" s="31"/>
      <c r="AG1564" s="31"/>
    </row>
    <row r="1565" spans="1:33" s="32" customFormat="1" ht="15" customHeight="1">
      <c r="A1565" s="37">
        <v>43507</v>
      </c>
      <c r="B1565" s="20" t="s">
        <v>60</v>
      </c>
      <c r="C1565" s="20" t="s">
        <v>46</v>
      </c>
      <c r="D1565" s="20">
        <v>150</v>
      </c>
      <c r="E1565" s="38">
        <v>2300</v>
      </c>
      <c r="F1565" s="20" t="s">
        <v>8</v>
      </c>
      <c r="G1565" s="43">
        <v>6.5</v>
      </c>
      <c r="H1565" s="20">
        <v>7.5</v>
      </c>
      <c r="I1565" s="43">
        <v>0</v>
      </c>
      <c r="J1565" s="53">
        <v>0</v>
      </c>
      <c r="K1565" s="1">
        <f t="shared" ref="K1565:K1567" si="2353">(IF(F1565="SELL",G1565-H1565,IF(F1565="BUY",H1565-G1565)))*E1565</f>
        <v>2300</v>
      </c>
      <c r="L1565" s="51">
        <v>0</v>
      </c>
      <c r="M1565" s="51">
        <v>0</v>
      </c>
      <c r="N1565" s="1">
        <f t="shared" si="2349"/>
        <v>1</v>
      </c>
      <c r="O1565" s="1">
        <f t="shared" si="2323"/>
        <v>2300</v>
      </c>
      <c r="P1565" s="31"/>
      <c r="Q1565" s="31"/>
      <c r="R1565" s="31"/>
      <c r="S1565" s="31"/>
      <c r="T1565" s="31"/>
      <c r="U1565" s="31"/>
      <c r="V1565" s="31"/>
      <c r="W1565" s="31"/>
      <c r="X1565" s="31"/>
      <c r="Y1565" s="31"/>
      <c r="Z1565" s="31"/>
      <c r="AA1565" s="31"/>
      <c r="AB1565" s="31"/>
      <c r="AC1565" s="31"/>
      <c r="AD1565" s="31"/>
      <c r="AE1565" s="31"/>
      <c r="AF1565" s="31"/>
      <c r="AG1565" s="31"/>
    </row>
    <row r="1566" spans="1:33" s="32" customFormat="1" ht="15" customHeight="1">
      <c r="A1566" s="37">
        <v>43507</v>
      </c>
      <c r="B1566" s="20" t="s">
        <v>399</v>
      </c>
      <c r="C1566" s="20" t="s">
        <v>46</v>
      </c>
      <c r="D1566" s="20">
        <v>180</v>
      </c>
      <c r="E1566" s="38">
        <v>2250</v>
      </c>
      <c r="F1566" s="20" t="s">
        <v>8</v>
      </c>
      <c r="G1566" s="43">
        <v>5.2</v>
      </c>
      <c r="H1566" s="20">
        <v>6.25</v>
      </c>
      <c r="I1566" s="43">
        <v>0</v>
      </c>
      <c r="J1566" s="53">
        <v>0</v>
      </c>
      <c r="K1566" s="1">
        <f t="shared" si="2353"/>
        <v>2362.4999999999995</v>
      </c>
      <c r="L1566" s="51">
        <v>0</v>
      </c>
      <c r="M1566" s="51">
        <v>0</v>
      </c>
      <c r="N1566" s="1">
        <f t="shared" si="2349"/>
        <v>1.0499999999999998</v>
      </c>
      <c r="O1566" s="1">
        <f t="shared" si="2323"/>
        <v>2362.4999999999995</v>
      </c>
      <c r="P1566" s="31"/>
      <c r="Q1566" s="31"/>
      <c r="R1566" s="31"/>
      <c r="S1566" s="31"/>
      <c r="T1566" s="31"/>
      <c r="U1566" s="31"/>
      <c r="V1566" s="31"/>
      <c r="W1566" s="31"/>
      <c r="X1566" s="31"/>
      <c r="Y1566" s="31"/>
      <c r="Z1566" s="31"/>
      <c r="AA1566" s="31"/>
      <c r="AB1566" s="31"/>
      <c r="AC1566" s="31"/>
      <c r="AD1566" s="31"/>
      <c r="AE1566" s="31"/>
      <c r="AF1566" s="31"/>
      <c r="AG1566" s="31"/>
    </row>
    <row r="1567" spans="1:33" s="32" customFormat="1" ht="15" customHeight="1">
      <c r="A1567" s="37">
        <v>43507</v>
      </c>
      <c r="B1567" s="20" t="s">
        <v>39</v>
      </c>
      <c r="C1567" s="20" t="s">
        <v>46</v>
      </c>
      <c r="D1567" s="20">
        <v>1260</v>
      </c>
      <c r="E1567" s="38">
        <v>500</v>
      </c>
      <c r="F1567" s="20" t="s">
        <v>8</v>
      </c>
      <c r="G1567" s="43">
        <v>27</v>
      </c>
      <c r="H1567" s="20">
        <v>30</v>
      </c>
      <c r="I1567" s="43">
        <v>0</v>
      </c>
      <c r="J1567" s="53">
        <v>0</v>
      </c>
      <c r="K1567" s="1">
        <f t="shared" si="2353"/>
        <v>1500</v>
      </c>
      <c r="L1567" s="51">
        <v>0</v>
      </c>
      <c r="M1567" s="51">
        <v>0</v>
      </c>
      <c r="N1567" s="1">
        <f t="shared" si="2349"/>
        <v>3</v>
      </c>
      <c r="O1567" s="1">
        <f t="shared" si="2323"/>
        <v>1500</v>
      </c>
      <c r="P1567" s="31"/>
      <c r="Q1567" s="31"/>
      <c r="R1567" s="31"/>
      <c r="S1567" s="31"/>
      <c r="T1567" s="31"/>
      <c r="U1567" s="31"/>
      <c r="V1567" s="31"/>
      <c r="W1567" s="31"/>
      <c r="X1567" s="31"/>
      <c r="Y1567" s="31"/>
      <c r="Z1567" s="31"/>
      <c r="AA1567" s="31"/>
      <c r="AB1567" s="31"/>
      <c r="AC1567" s="31"/>
      <c r="AD1567" s="31"/>
      <c r="AE1567" s="31"/>
      <c r="AF1567" s="31"/>
      <c r="AG1567" s="31"/>
    </row>
    <row r="1568" spans="1:33" s="32" customFormat="1" ht="15" customHeight="1">
      <c r="A1568" s="37">
        <v>43504</v>
      </c>
      <c r="B1568" s="20" t="s">
        <v>72</v>
      </c>
      <c r="C1568" s="20" t="s">
        <v>47</v>
      </c>
      <c r="D1568" s="20">
        <v>340</v>
      </c>
      <c r="E1568" s="38">
        <v>1800</v>
      </c>
      <c r="F1568" s="20" t="s">
        <v>8</v>
      </c>
      <c r="G1568" s="43">
        <v>9</v>
      </c>
      <c r="H1568" s="20">
        <v>10.35</v>
      </c>
      <c r="I1568" s="43">
        <v>0</v>
      </c>
      <c r="J1568" s="53">
        <v>0</v>
      </c>
      <c r="K1568" s="1">
        <f t="shared" ref="K1568:K1569" si="2354">(IF(F1568="SELL",G1568-H1568,IF(F1568="BUY",H1568-G1568)))*E1568</f>
        <v>2429.9999999999995</v>
      </c>
      <c r="L1568" s="51">
        <v>0</v>
      </c>
      <c r="M1568" s="51">
        <v>0</v>
      </c>
      <c r="N1568" s="1">
        <f t="shared" si="2349"/>
        <v>1.3499999999999996</v>
      </c>
      <c r="O1568" s="1">
        <f t="shared" ref="O1568:O1631" si="2355">N1568*E1568</f>
        <v>2429.9999999999995</v>
      </c>
      <c r="P1568" s="31"/>
      <c r="Q1568" s="31"/>
      <c r="R1568" s="31"/>
      <c r="S1568" s="31"/>
      <c r="T1568" s="31"/>
      <c r="U1568" s="31"/>
      <c r="V1568" s="31"/>
      <c r="W1568" s="31"/>
      <c r="X1568" s="31"/>
      <c r="Y1568" s="31"/>
      <c r="Z1568" s="31"/>
      <c r="AA1568" s="31"/>
      <c r="AB1568" s="31"/>
      <c r="AC1568" s="31"/>
      <c r="AD1568" s="31"/>
      <c r="AE1568" s="31"/>
      <c r="AF1568" s="31"/>
      <c r="AG1568" s="31"/>
    </row>
    <row r="1569" spans="1:33" s="32" customFormat="1" ht="15" customHeight="1">
      <c r="A1569" s="37">
        <v>43504</v>
      </c>
      <c r="B1569" s="20" t="s">
        <v>34</v>
      </c>
      <c r="C1569" s="20" t="s">
        <v>46</v>
      </c>
      <c r="D1569" s="20">
        <v>205</v>
      </c>
      <c r="E1569" s="38">
        <v>3500</v>
      </c>
      <c r="F1569" s="20" t="s">
        <v>8</v>
      </c>
      <c r="G1569" s="43">
        <v>6</v>
      </c>
      <c r="H1569" s="20">
        <v>7</v>
      </c>
      <c r="I1569" s="43">
        <v>0</v>
      </c>
      <c r="J1569" s="53">
        <v>0</v>
      </c>
      <c r="K1569" s="1">
        <f t="shared" si="2354"/>
        <v>3500</v>
      </c>
      <c r="L1569" s="51">
        <v>0</v>
      </c>
      <c r="M1569" s="51">
        <v>0</v>
      </c>
      <c r="N1569" s="1">
        <f t="shared" si="2349"/>
        <v>1</v>
      </c>
      <c r="O1569" s="1">
        <f t="shared" si="2355"/>
        <v>3500</v>
      </c>
      <c r="P1569" s="31"/>
      <c r="Q1569" s="31"/>
      <c r="R1569" s="31"/>
      <c r="S1569" s="31"/>
      <c r="T1569" s="31"/>
      <c r="U1569" s="31"/>
      <c r="V1569" s="31"/>
      <c r="W1569" s="31"/>
      <c r="X1569" s="31"/>
      <c r="Y1569" s="31"/>
      <c r="Z1569" s="31"/>
      <c r="AA1569" s="31"/>
      <c r="AB1569" s="31"/>
      <c r="AC1569" s="31"/>
      <c r="AD1569" s="31"/>
      <c r="AE1569" s="31"/>
      <c r="AF1569" s="31"/>
      <c r="AG1569" s="31"/>
    </row>
    <row r="1570" spans="1:33" s="32" customFormat="1" ht="15" customHeight="1">
      <c r="A1570" s="37">
        <v>43503</v>
      </c>
      <c r="B1570" s="20" t="s">
        <v>247</v>
      </c>
      <c r="C1570" s="20" t="s">
        <v>47</v>
      </c>
      <c r="D1570" s="20">
        <v>140</v>
      </c>
      <c r="E1570" s="38">
        <v>2850</v>
      </c>
      <c r="F1570" s="20" t="s">
        <v>8</v>
      </c>
      <c r="G1570" s="43">
        <v>8</v>
      </c>
      <c r="H1570" s="20">
        <v>9</v>
      </c>
      <c r="I1570" s="43">
        <v>0</v>
      </c>
      <c r="J1570" s="53">
        <v>0</v>
      </c>
      <c r="K1570" s="1">
        <f t="shared" ref="K1570:K1571" si="2356">(IF(F1570="SELL",G1570-H1570,IF(F1570="BUY",H1570-G1570)))*E1570</f>
        <v>2850</v>
      </c>
      <c r="L1570" s="51">
        <v>0</v>
      </c>
      <c r="M1570" s="51">
        <v>0</v>
      </c>
      <c r="N1570" s="1">
        <f t="shared" si="2349"/>
        <v>1</v>
      </c>
      <c r="O1570" s="1">
        <f t="shared" si="2355"/>
        <v>2850</v>
      </c>
      <c r="P1570" s="31"/>
      <c r="Q1570" s="31"/>
      <c r="R1570" s="31"/>
      <c r="S1570" s="31"/>
      <c r="T1570" s="31"/>
      <c r="U1570" s="31"/>
      <c r="V1570" s="31"/>
      <c r="W1570" s="31"/>
      <c r="X1570" s="31"/>
      <c r="Y1570" s="31"/>
      <c r="Z1570" s="31"/>
      <c r="AA1570" s="31"/>
      <c r="AB1570" s="31"/>
      <c r="AC1570" s="31"/>
      <c r="AD1570" s="31"/>
      <c r="AE1570" s="31"/>
      <c r="AF1570" s="31"/>
      <c r="AG1570" s="31"/>
    </row>
    <row r="1571" spans="1:33" s="32" customFormat="1" ht="15" customHeight="1">
      <c r="A1571" s="37">
        <v>43503</v>
      </c>
      <c r="B1571" s="20" t="s">
        <v>67</v>
      </c>
      <c r="C1571" s="20" t="s">
        <v>47</v>
      </c>
      <c r="D1571" s="20">
        <v>820</v>
      </c>
      <c r="E1571" s="38">
        <v>1200</v>
      </c>
      <c r="F1571" s="20" t="s">
        <v>8</v>
      </c>
      <c r="G1571" s="43">
        <v>19</v>
      </c>
      <c r="H1571" s="20">
        <v>21</v>
      </c>
      <c r="I1571" s="43">
        <v>0</v>
      </c>
      <c r="J1571" s="53">
        <v>0</v>
      </c>
      <c r="K1571" s="1">
        <f t="shared" si="2356"/>
        <v>2400</v>
      </c>
      <c r="L1571" s="51">
        <v>0</v>
      </c>
      <c r="M1571" s="51">
        <v>0</v>
      </c>
      <c r="N1571" s="1">
        <f t="shared" si="2349"/>
        <v>2</v>
      </c>
      <c r="O1571" s="1">
        <f t="shared" si="2355"/>
        <v>2400</v>
      </c>
      <c r="P1571" s="31"/>
      <c r="Q1571" s="31"/>
      <c r="R1571" s="31"/>
      <c r="S1571" s="31"/>
      <c r="T1571" s="31"/>
      <c r="U1571" s="31"/>
      <c r="V1571" s="31"/>
      <c r="W1571" s="31"/>
      <c r="X1571" s="31"/>
      <c r="Y1571" s="31"/>
      <c r="Z1571" s="31"/>
      <c r="AA1571" s="31"/>
      <c r="AB1571" s="31"/>
      <c r="AC1571" s="31"/>
      <c r="AD1571" s="31"/>
      <c r="AE1571" s="31"/>
      <c r="AF1571" s="31"/>
      <c r="AG1571" s="31"/>
    </row>
    <row r="1572" spans="1:33" s="32" customFormat="1" ht="15" customHeight="1">
      <c r="A1572" s="37">
        <v>43502</v>
      </c>
      <c r="B1572" s="20" t="s">
        <v>30</v>
      </c>
      <c r="C1572" s="20" t="s">
        <v>47</v>
      </c>
      <c r="D1572" s="20">
        <v>360</v>
      </c>
      <c r="E1572" s="38">
        <v>2750</v>
      </c>
      <c r="F1572" s="20" t="s">
        <v>8</v>
      </c>
      <c r="G1572" s="43">
        <v>10.7</v>
      </c>
      <c r="H1572" s="20">
        <v>11.7</v>
      </c>
      <c r="I1572" s="43">
        <v>0</v>
      </c>
      <c r="J1572" s="53">
        <v>0</v>
      </c>
      <c r="K1572" s="1">
        <f t="shared" ref="K1572" si="2357">(IF(F1572="SELL",G1572-H1572,IF(F1572="BUY",H1572-G1572)))*E1572</f>
        <v>2750</v>
      </c>
      <c r="L1572" s="51">
        <v>0</v>
      </c>
      <c r="M1572" s="51">
        <v>0</v>
      </c>
      <c r="N1572" s="1">
        <f t="shared" si="2349"/>
        <v>1</v>
      </c>
      <c r="O1572" s="1">
        <f t="shared" si="2355"/>
        <v>2750</v>
      </c>
      <c r="P1572" s="31"/>
      <c r="Q1572" s="31"/>
      <c r="R1572" s="31"/>
      <c r="S1572" s="31"/>
      <c r="T1572" s="31"/>
      <c r="U1572" s="31"/>
      <c r="V1572" s="31"/>
      <c r="W1572" s="31"/>
      <c r="X1572" s="31"/>
      <c r="Y1572" s="31"/>
      <c r="Z1572" s="31"/>
      <c r="AA1572" s="31"/>
      <c r="AB1572" s="31"/>
      <c r="AC1572" s="31"/>
      <c r="AD1572" s="31"/>
      <c r="AE1572" s="31"/>
      <c r="AF1572" s="31"/>
      <c r="AG1572" s="31"/>
    </row>
    <row r="1573" spans="1:33" s="32" customFormat="1" ht="15" customHeight="1">
      <c r="A1573" s="37">
        <v>43502</v>
      </c>
      <c r="B1573" s="20" t="s">
        <v>39</v>
      </c>
      <c r="C1573" s="20" t="s">
        <v>47</v>
      </c>
      <c r="D1573" s="20">
        <v>1320</v>
      </c>
      <c r="E1573" s="38">
        <v>500</v>
      </c>
      <c r="F1573" s="20" t="s">
        <v>8</v>
      </c>
      <c r="G1573" s="43">
        <v>31</v>
      </c>
      <c r="H1573" s="20">
        <v>36</v>
      </c>
      <c r="I1573" s="43">
        <v>0</v>
      </c>
      <c r="J1573" s="53">
        <v>0</v>
      </c>
      <c r="K1573" s="1">
        <f t="shared" ref="K1573" si="2358">(IF(F1573="SELL",G1573-H1573,IF(F1573="BUY",H1573-G1573)))*E1573</f>
        <v>2500</v>
      </c>
      <c r="L1573" s="51">
        <v>0</v>
      </c>
      <c r="M1573" s="51">
        <v>0</v>
      </c>
      <c r="N1573" s="1">
        <f t="shared" si="2349"/>
        <v>5</v>
      </c>
      <c r="O1573" s="1">
        <f t="shared" si="2355"/>
        <v>2500</v>
      </c>
      <c r="P1573" s="31"/>
      <c r="Q1573" s="31"/>
      <c r="R1573" s="31"/>
      <c r="S1573" s="31"/>
      <c r="T1573" s="31"/>
      <c r="U1573" s="31"/>
      <c r="V1573" s="31"/>
      <c r="W1573" s="31"/>
      <c r="X1573" s="31"/>
      <c r="Y1573" s="31"/>
      <c r="Z1573" s="31"/>
      <c r="AA1573" s="31"/>
      <c r="AB1573" s="31"/>
      <c r="AC1573" s="31"/>
      <c r="AD1573" s="31"/>
      <c r="AE1573" s="31"/>
      <c r="AF1573" s="31"/>
      <c r="AG1573" s="31"/>
    </row>
    <row r="1574" spans="1:33" s="32" customFormat="1" ht="15" customHeight="1">
      <c r="A1574" s="37">
        <v>43501</v>
      </c>
      <c r="B1574" s="20" t="s">
        <v>77</v>
      </c>
      <c r="C1574" s="20" t="s">
        <v>47</v>
      </c>
      <c r="D1574" s="20">
        <v>330</v>
      </c>
      <c r="E1574" s="38">
        <v>2667</v>
      </c>
      <c r="F1574" s="20" t="s">
        <v>8</v>
      </c>
      <c r="G1574" s="43">
        <v>10.5</v>
      </c>
      <c r="H1574" s="20">
        <v>11.5</v>
      </c>
      <c r="I1574" s="43">
        <v>13</v>
      </c>
      <c r="J1574" s="53">
        <v>0</v>
      </c>
      <c r="K1574" s="1">
        <f t="shared" ref="K1574" si="2359">(IF(F1574="SELL",G1574-H1574,IF(F1574="BUY",H1574-G1574)))*E1574</f>
        <v>2667</v>
      </c>
      <c r="L1574" s="51">
        <f>E1574*1.5</f>
        <v>4000.5</v>
      </c>
      <c r="M1574" s="51">
        <v>0</v>
      </c>
      <c r="N1574" s="1">
        <f t="shared" si="2349"/>
        <v>2.5</v>
      </c>
      <c r="O1574" s="1">
        <f t="shared" si="2355"/>
        <v>6667.5</v>
      </c>
      <c r="P1574" s="31"/>
      <c r="Q1574" s="31"/>
      <c r="R1574" s="31"/>
      <c r="S1574" s="31"/>
      <c r="T1574" s="31"/>
      <c r="U1574" s="31"/>
      <c r="V1574" s="31"/>
      <c r="W1574" s="31"/>
      <c r="X1574" s="31"/>
      <c r="Y1574" s="31"/>
      <c r="Z1574" s="31"/>
      <c r="AA1574" s="31"/>
      <c r="AB1574" s="31"/>
      <c r="AC1574" s="31"/>
      <c r="AD1574" s="31"/>
      <c r="AE1574" s="31"/>
      <c r="AF1574" s="31"/>
      <c r="AG1574" s="31"/>
    </row>
    <row r="1575" spans="1:33" s="32" customFormat="1" ht="15" customHeight="1">
      <c r="A1575" s="37">
        <v>43501</v>
      </c>
      <c r="B1575" s="20" t="s">
        <v>39</v>
      </c>
      <c r="C1575" s="20" t="s">
        <v>47</v>
      </c>
      <c r="D1575" s="20">
        <v>1300</v>
      </c>
      <c r="E1575" s="38">
        <v>500</v>
      </c>
      <c r="F1575" s="20" t="s">
        <v>8</v>
      </c>
      <c r="G1575" s="43">
        <v>35</v>
      </c>
      <c r="H1575" s="20">
        <v>40</v>
      </c>
      <c r="I1575" s="43">
        <v>0</v>
      </c>
      <c r="J1575" s="53">
        <v>0</v>
      </c>
      <c r="K1575" s="1">
        <f t="shared" ref="K1575" si="2360">(IF(F1575="SELL",G1575-H1575,IF(F1575="BUY",H1575-G1575)))*E1575</f>
        <v>2500</v>
      </c>
      <c r="L1575" s="51">
        <v>0</v>
      </c>
      <c r="M1575" s="51">
        <v>0</v>
      </c>
      <c r="N1575" s="1">
        <f t="shared" si="2349"/>
        <v>5</v>
      </c>
      <c r="O1575" s="1">
        <f t="shared" si="2355"/>
        <v>2500</v>
      </c>
      <c r="P1575" s="31"/>
      <c r="Q1575" s="31"/>
      <c r="R1575" s="31"/>
      <c r="S1575" s="31"/>
      <c r="T1575" s="31"/>
      <c r="U1575" s="31"/>
      <c r="V1575" s="31"/>
      <c r="W1575" s="31"/>
      <c r="X1575" s="31"/>
      <c r="Y1575" s="31"/>
      <c r="Z1575" s="31"/>
      <c r="AA1575" s="31"/>
      <c r="AB1575" s="31"/>
      <c r="AC1575" s="31"/>
      <c r="AD1575" s="31"/>
      <c r="AE1575" s="31"/>
      <c r="AF1575" s="31"/>
      <c r="AG1575" s="31"/>
    </row>
    <row r="1576" spans="1:33" s="32" customFormat="1" ht="15" customHeight="1">
      <c r="A1576" s="37">
        <v>43501</v>
      </c>
      <c r="B1576" s="20" t="s">
        <v>398</v>
      </c>
      <c r="C1576" s="20" t="s">
        <v>46</v>
      </c>
      <c r="D1576" s="20">
        <v>290</v>
      </c>
      <c r="E1576" s="38">
        <v>2000</v>
      </c>
      <c r="F1576" s="20" t="s">
        <v>8</v>
      </c>
      <c r="G1576" s="43">
        <v>8.5</v>
      </c>
      <c r="H1576" s="20">
        <v>9.5</v>
      </c>
      <c r="I1576" s="43">
        <v>0</v>
      </c>
      <c r="J1576" s="53">
        <v>0</v>
      </c>
      <c r="K1576" s="1">
        <f t="shared" ref="K1576" si="2361">(IF(F1576="SELL",G1576-H1576,IF(F1576="BUY",H1576-G1576)))*E1576</f>
        <v>2000</v>
      </c>
      <c r="L1576" s="51">
        <v>0</v>
      </c>
      <c r="M1576" s="51">
        <v>0</v>
      </c>
      <c r="N1576" s="1">
        <f t="shared" si="2349"/>
        <v>1</v>
      </c>
      <c r="O1576" s="1">
        <f t="shared" si="2355"/>
        <v>2000</v>
      </c>
      <c r="P1576" s="31"/>
      <c r="Q1576" s="31"/>
      <c r="R1576" s="31"/>
      <c r="S1576" s="31"/>
      <c r="T1576" s="31"/>
      <c r="U1576" s="31"/>
      <c r="V1576" s="31"/>
      <c r="W1576" s="31"/>
      <c r="X1576" s="31"/>
      <c r="Y1576" s="31"/>
      <c r="Z1576" s="31"/>
      <c r="AA1576" s="31"/>
      <c r="AB1576" s="31"/>
      <c r="AC1576" s="31"/>
      <c r="AD1576" s="31"/>
      <c r="AE1576" s="31"/>
      <c r="AF1576" s="31"/>
      <c r="AG1576" s="31"/>
    </row>
    <row r="1577" spans="1:33" s="32" customFormat="1" ht="15" customHeight="1">
      <c r="A1577" s="37">
        <v>43500</v>
      </c>
      <c r="B1577" s="20" t="s">
        <v>109</v>
      </c>
      <c r="C1577" s="20" t="s">
        <v>47</v>
      </c>
      <c r="D1577" s="20">
        <v>370</v>
      </c>
      <c r="E1577" s="38">
        <v>2400</v>
      </c>
      <c r="F1577" s="20" t="s">
        <v>8</v>
      </c>
      <c r="G1577" s="43">
        <v>11</v>
      </c>
      <c r="H1577" s="20">
        <v>0</v>
      </c>
      <c r="I1577" s="43">
        <v>0</v>
      </c>
      <c r="J1577" s="53">
        <v>0</v>
      </c>
      <c r="K1577" s="1">
        <v>0</v>
      </c>
      <c r="L1577" s="51">
        <v>0</v>
      </c>
      <c r="M1577" s="51">
        <v>0</v>
      </c>
      <c r="N1577" s="1">
        <f t="shared" si="2349"/>
        <v>0</v>
      </c>
      <c r="O1577" s="1">
        <f t="shared" si="2355"/>
        <v>0</v>
      </c>
      <c r="P1577" s="31"/>
      <c r="Q1577" s="31"/>
      <c r="R1577" s="31"/>
      <c r="S1577" s="31"/>
      <c r="T1577" s="31"/>
      <c r="U1577" s="31"/>
      <c r="V1577" s="31"/>
      <c r="W1577" s="31"/>
      <c r="X1577" s="31"/>
      <c r="Y1577" s="31"/>
      <c r="Z1577" s="31"/>
      <c r="AA1577" s="31"/>
      <c r="AB1577" s="31"/>
      <c r="AC1577" s="31"/>
      <c r="AD1577" s="31"/>
      <c r="AE1577" s="31"/>
      <c r="AF1577" s="31"/>
      <c r="AG1577" s="31"/>
    </row>
    <row r="1578" spans="1:33" s="32" customFormat="1" ht="15" customHeight="1">
      <c r="A1578" s="37">
        <v>43497</v>
      </c>
      <c r="B1578" s="20" t="s">
        <v>198</v>
      </c>
      <c r="C1578" s="20" t="s">
        <v>47</v>
      </c>
      <c r="D1578" s="20">
        <v>300</v>
      </c>
      <c r="E1578" s="38">
        <v>3000</v>
      </c>
      <c r="F1578" s="20" t="s">
        <v>8</v>
      </c>
      <c r="G1578" s="43">
        <v>12.5</v>
      </c>
      <c r="H1578" s="20">
        <v>13.5</v>
      </c>
      <c r="I1578" s="43">
        <v>0</v>
      </c>
      <c r="J1578" s="53">
        <v>0</v>
      </c>
      <c r="K1578" s="1">
        <f t="shared" ref="K1578" si="2362">(IF(F1578="SELL",G1578-H1578,IF(F1578="BUY",H1578-G1578)))*E1578</f>
        <v>3000</v>
      </c>
      <c r="L1578" s="51">
        <v>0</v>
      </c>
      <c r="M1578" s="51">
        <v>0</v>
      </c>
      <c r="N1578" s="1">
        <f t="shared" si="2349"/>
        <v>1</v>
      </c>
      <c r="O1578" s="1">
        <f t="shared" si="2355"/>
        <v>3000</v>
      </c>
      <c r="P1578" s="31"/>
      <c r="Q1578" s="31"/>
      <c r="R1578" s="31"/>
      <c r="S1578" s="31"/>
      <c r="T1578" s="31"/>
      <c r="U1578" s="31"/>
      <c r="V1578" s="31"/>
      <c r="W1578" s="31"/>
      <c r="X1578" s="31"/>
      <c r="Y1578" s="31"/>
      <c r="Z1578" s="31"/>
      <c r="AA1578" s="31"/>
      <c r="AB1578" s="31"/>
      <c r="AC1578" s="31"/>
      <c r="AD1578" s="31"/>
      <c r="AE1578" s="31"/>
      <c r="AF1578" s="31"/>
      <c r="AG1578" s="31"/>
    </row>
    <row r="1579" spans="1:33" s="32" customFormat="1" ht="15" customHeight="1">
      <c r="A1579" s="37">
        <v>43496</v>
      </c>
      <c r="B1579" s="20" t="s">
        <v>72</v>
      </c>
      <c r="C1579" s="20" t="s">
        <v>47</v>
      </c>
      <c r="D1579" s="20">
        <v>340</v>
      </c>
      <c r="E1579" s="38">
        <v>1800</v>
      </c>
      <c r="F1579" s="20" t="s">
        <v>8</v>
      </c>
      <c r="G1579" s="43">
        <v>5</v>
      </c>
      <c r="H1579" s="20">
        <v>6.5</v>
      </c>
      <c r="I1579" s="43">
        <v>8</v>
      </c>
      <c r="J1579" s="53">
        <v>10</v>
      </c>
      <c r="K1579" s="1">
        <f t="shared" ref="K1579" si="2363">(IF(F1579="SELL",G1579-H1579,IF(F1579="BUY",H1579-G1579)))*E1579</f>
        <v>2700</v>
      </c>
      <c r="L1579" s="51">
        <f>E1579*1.5</f>
        <v>2700</v>
      </c>
      <c r="M1579" s="51">
        <f>E1579*2</f>
        <v>3600</v>
      </c>
      <c r="N1579" s="1">
        <f t="shared" si="2349"/>
        <v>5</v>
      </c>
      <c r="O1579" s="1">
        <f t="shared" si="2355"/>
        <v>9000</v>
      </c>
      <c r="P1579" s="31"/>
      <c r="Q1579" s="31"/>
      <c r="R1579" s="31"/>
      <c r="S1579" s="31"/>
      <c r="T1579" s="31"/>
      <c r="U1579" s="31"/>
      <c r="V1579" s="31"/>
      <c r="W1579" s="31"/>
      <c r="X1579" s="31"/>
      <c r="Y1579" s="31"/>
      <c r="Z1579" s="31"/>
      <c r="AA1579" s="31"/>
      <c r="AB1579" s="31"/>
      <c r="AC1579" s="31"/>
      <c r="AD1579" s="31"/>
      <c r="AE1579" s="31"/>
      <c r="AF1579" s="31"/>
      <c r="AG1579" s="31"/>
    </row>
    <row r="1580" spans="1:33" s="32" customFormat="1" ht="15" customHeight="1">
      <c r="A1580" s="37">
        <v>43494</v>
      </c>
      <c r="B1580" s="20" t="s">
        <v>39</v>
      </c>
      <c r="C1580" s="20" t="s">
        <v>46</v>
      </c>
      <c r="D1580" s="20">
        <v>1220</v>
      </c>
      <c r="E1580" s="38">
        <v>500</v>
      </c>
      <c r="F1580" s="20" t="s">
        <v>8</v>
      </c>
      <c r="G1580" s="43">
        <v>13</v>
      </c>
      <c r="H1580" s="20">
        <v>17</v>
      </c>
      <c r="I1580" s="43">
        <v>21</v>
      </c>
      <c r="J1580" s="53">
        <v>0</v>
      </c>
      <c r="K1580" s="1">
        <f t="shared" ref="K1580:K1582" si="2364">(IF(F1580="SELL",G1580-H1580,IF(F1580="BUY",H1580-G1580)))*E1580</f>
        <v>2000</v>
      </c>
      <c r="L1580" s="51">
        <f>E1580*4</f>
        <v>2000</v>
      </c>
      <c r="M1580" s="51">
        <v>0</v>
      </c>
      <c r="N1580" s="1">
        <f t="shared" si="2349"/>
        <v>8</v>
      </c>
      <c r="O1580" s="1">
        <f t="shared" si="2355"/>
        <v>4000</v>
      </c>
      <c r="P1580" s="31"/>
      <c r="Q1580" s="31"/>
      <c r="R1580" s="31"/>
      <c r="S1580" s="31"/>
      <c r="T1580" s="31"/>
      <c r="U1580" s="31"/>
      <c r="V1580" s="31"/>
      <c r="W1580" s="31"/>
      <c r="X1580" s="31"/>
      <c r="Y1580" s="31"/>
      <c r="Z1580" s="31"/>
      <c r="AA1580" s="31"/>
      <c r="AB1580" s="31"/>
      <c r="AC1580" s="31"/>
      <c r="AD1580" s="31"/>
      <c r="AE1580" s="31"/>
      <c r="AF1580" s="31"/>
      <c r="AG1580" s="31"/>
    </row>
    <row r="1581" spans="1:33" s="32" customFormat="1" ht="15" customHeight="1">
      <c r="A1581" s="37">
        <v>43494</v>
      </c>
      <c r="B1581" s="20" t="s">
        <v>72</v>
      </c>
      <c r="C1581" s="20" t="s">
        <v>47</v>
      </c>
      <c r="D1581" s="20">
        <v>350</v>
      </c>
      <c r="E1581" s="38">
        <v>1800</v>
      </c>
      <c r="F1581" s="20" t="s">
        <v>8</v>
      </c>
      <c r="G1581" s="43">
        <v>4.2</v>
      </c>
      <c r="H1581" s="20">
        <v>5.5</v>
      </c>
      <c r="I1581" s="43">
        <v>0</v>
      </c>
      <c r="J1581" s="53">
        <v>0</v>
      </c>
      <c r="K1581" s="1">
        <f t="shared" si="2364"/>
        <v>2339.9999999999995</v>
      </c>
      <c r="L1581" s="51">
        <v>0</v>
      </c>
      <c r="M1581" s="51">
        <v>0</v>
      </c>
      <c r="N1581" s="1">
        <f t="shared" si="2349"/>
        <v>1.2999999999999998</v>
      </c>
      <c r="O1581" s="1">
        <f t="shared" si="2355"/>
        <v>2339.9999999999995</v>
      </c>
      <c r="P1581" s="31"/>
      <c r="Q1581" s="31"/>
      <c r="R1581" s="31"/>
      <c r="S1581" s="31"/>
      <c r="T1581" s="31"/>
      <c r="U1581" s="31"/>
      <c r="V1581" s="31"/>
      <c r="W1581" s="31"/>
      <c r="X1581" s="31"/>
      <c r="Y1581" s="31"/>
      <c r="Z1581" s="31"/>
      <c r="AA1581" s="31"/>
      <c r="AB1581" s="31"/>
      <c r="AC1581" s="31"/>
      <c r="AD1581" s="31"/>
      <c r="AE1581" s="31"/>
      <c r="AF1581" s="31"/>
      <c r="AG1581" s="31"/>
    </row>
    <row r="1582" spans="1:33" s="32" customFormat="1" ht="15" customHeight="1">
      <c r="A1582" s="37">
        <v>43494</v>
      </c>
      <c r="B1582" s="20" t="s">
        <v>63</v>
      </c>
      <c r="C1582" s="20" t="s">
        <v>46</v>
      </c>
      <c r="D1582" s="20">
        <v>235</v>
      </c>
      <c r="E1582" s="38">
        <v>2100</v>
      </c>
      <c r="F1582" s="20" t="s">
        <v>8</v>
      </c>
      <c r="G1582" s="43">
        <v>3</v>
      </c>
      <c r="H1582" s="20">
        <v>1.5</v>
      </c>
      <c r="I1582" s="43">
        <v>0</v>
      </c>
      <c r="J1582" s="53">
        <v>0</v>
      </c>
      <c r="K1582" s="1">
        <f t="shared" si="2364"/>
        <v>-3150</v>
      </c>
      <c r="L1582" s="51">
        <v>0</v>
      </c>
      <c r="M1582" s="51">
        <v>0</v>
      </c>
      <c r="N1582" s="1">
        <f t="shared" si="2349"/>
        <v>-1.5</v>
      </c>
      <c r="O1582" s="1">
        <f t="shared" si="2355"/>
        <v>-3150</v>
      </c>
      <c r="P1582" s="31"/>
      <c r="Q1582" s="31"/>
      <c r="R1582" s="31"/>
      <c r="S1582" s="31"/>
      <c r="T1582" s="31"/>
      <c r="U1582" s="31"/>
      <c r="V1582" s="31"/>
      <c r="W1582" s="31"/>
      <c r="X1582" s="31"/>
      <c r="Y1582" s="31"/>
      <c r="Z1582" s="31"/>
      <c r="AA1582" s="31"/>
      <c r="AB1582" s="31"/>
      <c r="AC1582" s="31"/>
      <c r="AD1582" s="31"/>
      <c r="AE1582" s="31"/>
      <c r="AF1582" s="31"/>
      <c r="AG1582" s="31"/>
    </row>
    <row r="1583" spans="1:33" s="32" customFormat="1" ht="15" customHeight="1">
      <c r="A1583" s="37">
        <v>43490</v>
      </c>
      <c r="B1583" s="20" t="s">
        <v>26</v>
      </c>
      <c r="C1583" s="20" t="s">
        <v>46</v>
      </c>
      <c r="D1583" s="20">
        <v>460</v>
      </c>
      <c r="E1583" s="38">
        <v>1061</v>
      </c>
      <c r="F1583" s="20" t="s">
        <v>8</v>
      </c>
      <c r="G1583" s="43">
        <v>6</v>
      </c>
      <c r="H1583" s="20">
        <v>8</v>
      </c>
      <c r="I1583" s="43">
        <v>10</v>
      </c>
      <c r="J1583" s="53">
        <v>0</v>
      </c>
      <c r="K1583" s="1">
        <f t="shared" ref="K1583" si="2365">(IF(F1583="SELL",G1583-H1583,IF(F1583="BUY",H1583-G1583)))*E1583</f>
        <v>2122</v>
      </c>
      <c r="L1583" s="51">
        <f>E1583*2</f>
        <v>2122</v>
      </c>
      <c r="M1583" s="51">
        <v>0</v>
      </c>
      <c r="N1583" s="1">
        <f t="shared" si="2349"/>
        <v>4</v>
      </c>
      <c r="O1583" s="1">
        <f t="shared" si="2355"/>
        <v>4244</v>
      </c>
      <c r="P1583" s="31"/>
      <c r="Q1583" s="31"/>
      <c r="R1583" s="31"/>
      <c r="S1583" s="31"/>
      <c r="T1583" s="31"/>
      <c r="U1583" s="31"/>
      <c r="V1583" s="31"/>
      <c r="W1583" s="31"/>
      <c r="X1583" s="31"/>
      <c r="Y1583" s="31"/>
      <c r="Z1583" s="31"/>
      <c r="AA1583" s="31"/>
      <c r="AB1583" s="31"/>
      <c r="AC1583" s="31"/>
      <c r="AD1583" s="31"/>
      <c r="AE1583" s="31"/>
      <c r="AF1583" s="31"/>
      <c r="AG1583" s="31"/>
    </row>
    <row r="1584" spans="1:33" s="32" customFormat="1" ht="15" customHeight="1">
      <c r="A1584" s="37">
        <v>43487</v>
      </c>
      <c r="B1584" s="20" t="s">
        <v>98</v>
      </c>
      <c r="C1584" s="20" t="s">
        <v>46</v>
      </c>
      <c r="D1584" s="20">
        <v>660</v>
      </c>
      <c r="E1584" s="38">
        <v>900</v>
      </c>
      <c r="F1584" s="20" t="s">
        <v>8</v>
      </c>
      <c r="G1584" s="43">
        <v>15</v>
      </c>
      <c r="H1584" s="20">
        <v>0</v>
      </c>
      <c r="I1584" s="43">
        <v>0</v>
      </c>
      <c r="J1584" s="53">
        <v>0</v>
      </c>
      <c r="K1584" s="1">
        <v>0</v>
      </c>
      <c r="L1584" s="51">
        <v>0</v>
      </c>
      <c r="M1584" s="51">
        <v>0</v>
      </c>
      <c r="N1584" s="1">
        <f t="shared" si="2349"/>
        <v>0</v>
      </c>
      <c r="O1584" s="1">
        <f t="shared" si="2355"/>
        <v>0</v>
      </c>
      <c r="P1584" s="31"/>
      <c r="Q1584" s="31"/>
      <c r="R1584" s="31"/>
      <c r="S1584" s="31"/>
      <c r="T1584" s="31"/>
      <c r="U1584" s="31"/>
      <c r="V1584" s="31"/>
      <c r="W1584" s="31"/>
      <c r="X1584" s="31"/>
      <c r="Y1584" s="31"/>
      <c r="Z1584" s="31"/>
      <c r="AA1584" s="31"/>
      <c r="AB1584" s="31"/>
      <c r="AC1584" s="31"/>
      <c r="AD1584" s="31"/>
      <c r="AE1584" s="31"/>
      <c r="AF1584" s="31"/>
      <c r="AG1584" s="31"/>
    </row>
    <row r="1585" spans="1:33" s="32" customFormat="1" ht="15" customHeight="1">
      <c r="A1585" s="37">
        <v>43487</v>
      </c>
      <c r="B1585" s="20" t="s">
        <v>39</v>
      </c>
      <c r="C1585" s="20" t="s">
        <v>46</v>
      </c>
      <c r="D1585" s="20">
        <v>1220</v>
      </c>
      <c r="E1585" s="38">
        <v>500</v>
      </c>
      <c r="F1585" s="20" t="s">
        <v>8</v>
      </c>
      <c r="G1585" s="43">
        <v>18</v>
      </c>
      <c r="H1585" s="20">
        <v>0</v>
      </c>
      <c r="I1585" s="43">
        <v>0</v>
      </c>
      <c r="J1585" s="53">
        <v>0</v>
      </c>
      <c r="K1585" s="1">
        <v>0</v>
      </c>
      <c r="L1585" s="51">
        <v>0</v>
      </c>
      <c r="M1585" s="51">
        <v>0</v>
      </c>
      <c r="N1585" s="1">
        <f t="shared" si="2349"/>
        <v>0</v>
      </c>
      <c r="O1585" s="1">
        <f t="shared" si="2355"/>
        <v>0</v>
      </c>
      <c r="P1585" s="31"/>
      <c r="Q1585" s="31"/>
      <c r="R1585" s="31"/>
      <c r="S1585" s="31"/>
      <c r="T1585" s="31"/>
      <c r="U1585" s="31"/>
      <c r="V1585" s="31"/>
      <c r="W1585" s="31"/>
      <c r="X1585" s="31"/>
      <c r="Y1585" s="31"/>
      <c r="Z1585" s="31"/>
      <c r="AA1585" s="31"/>
      <c r="AB1585" s="31"/>
      <c r="AC1585" s="31"/>
      <c r="AD1585" s="31"/>
      <c r="AE1585" s="31"/>
      <c r="AF1585" s="31"/>
      <c r="AG1585" s="31"/>
    </row>
    <row r="1586" spans="1:33" s="32" customFormat="1" ht="15" customHeight="1">
      <c r="A1586" s="37">
        <v>43486</v>
      </c>
      <c r="B1586" s="20" t="s">
        <v>39</v>
      </c>
      <c r="C1586" s="20" t="s">
        <v>47</v>
      </c>
      <c r="D1586" s="20">
        <v>1200</v>
      </c>
      <c r="E1586" s="38">
        <v>500</v>
      </c>
      <c r="F1586" s="20" t="s">
        <v>8</v>
      </c>
      <c r="G1586" s="43">
        <v>21</v>
      </c>
      <c r="H1586" s="20">
        <v>25</v>
      </c>
      <c r="I1586" s="43">
        <v>29</v>
      </c>
      <c r="J1586" s="53">
        <v>34</v>
      </c>
      <c r="K1586" s="1">
        <f t="shared" ref="K1586" si="2366">(IF(F1586="SELL",G1586-H1586,IF(F1586="BUY",H1586-G1586)))*E1586</f>
        <v>2000</v>
      </c>
      <c r="L1586" s="51">
        <f>E1586*4</f>
        <v>2000</v>
      </c>
      <c r="M1586" s="51">
        <f>E1586*5</f>
        <v>2500</v>
      </c>
      <c r="N1586" s="1">
        <f t="shared" si="2349"/>
        <v>13</v>
      </c>
      <c r="O1586" s="1">
        <f t="shared" si="2355"/>
        <v>6500</v>
      </c>
      <c r="P1586" s="31"/>
      <c r="Q1586" s="31"/>
      <c r="R1586" s="31"/>
      <c r="S1586" s="31"/>
      <c r="T1586" s="31"/>
      <c r="U1586" s="31"/>
      <c r="V1586" s="31"/>
      <c r="W1586" s="31"/>
      <c r="X1586" s="31"/>
      <c r="Y1586" s="31"/>
      <c r="Z1586" s="31"/>
      <c r="AA1586" s="31"/>
      <c r="AB1586" s="31"/>
      <c r="AC1586" s="31"/>
      <c r="AD1586" s="31"/>
      <c r="AE1586" s="31"/>
      <c r="AF1586" s="31"/>
      <c r="AG1586" s="31"/>
    </row>
    <row r="1587" spans="1:33" s="32" customFormat="1" ht="15" customHeight="1">
      <c r="A1587" s="37">
        <v>43483</v>
      </c>
      <c r="B1587" s="20" t="s">
        <v>39</v>
      </c>
      <c r="C1587" s="20" t="s">
        <v>46</v>
      </c>
      <c r="D1587" s="20">
        <v>1140</v>
      </c>
      <c r="E1587" s="38">
        <v>500</v>
      </c>
      <c r="F1587" s="20" t="s">
        <v>8</v>
      </c>
      <c r="G1587" s="43">
        <v>20</v>
      </c>
      <c r="H1587" s="20">
        <v>24</v>
      </c>
      <c r="I1587" s="43">
        <v>0</v>
      </c>
      <c r="J1587" s="53">
        <v>0</v>
      </c>
      <c r="K1587" s="1">
        <f t="shared" ref="K1587" si="2367">(IF(F1587="SELL",G1587-H1587,IF(F1587="BUY",H1587-G1587)))*E1587</f>
        <v>2000</v>
      </c>
      <c r="L1587" s="51">
        <v>0</v>
      </c>
      <c r="M1587" s="51">
        <v>0</v>
      </c>
      <c r="N1587" s="1">
        <f t="shared" si="2349"/>
        <v>4</v>
      </c>
      <c r="O1587" s="1">
        <f t="shared" si="2355"/>
        <v>2000</v>
      </c>
      <c r="P1587" s="31"/>
      <c r="Q1587" s="31"/>
      <c r="R1587" s="31"/>
      <c r="S1587" s="31"/>
      <c r="T1587" s="31"/>
      <c r="U1587" s="31"/>
      <c r="V1587" s="31"/>
      <c r="W1587" s="31"/>
      <c r="X1587" s="31"/>
      <c r="Y1587" s="31"/>
      <c r="Z1587" s="31"/>
      <c r="AA1587" s="31"/>
      <c r="AB1587" s="31"/>
      <c r="AC1587" s="31"/>
      <c r="AD1587" s="31"/>
      <c r="AE1587" s="31"/>
      <c r="AF1587" s="31"/>
      <c r="AG1587" s="31"/>
    </row>
    <row r="1588" spans="1:33" s="32" customFormat="1" ht="15" customHeight="1">
      <c r="A1588" s="37">
        <v>43482</v>
      </c>
      <c r="B1588" s="20" t="s">
        <v>39</v>
      </c>
      <c r="C1588" s="20" t="s">
        <v>46</v>
      </c>
      <c r="D1588" s="20">
        <v>1140</v>
      </c>
      <c r="E1588" s="38">
        <v>500</v>
      </c>
      <c r="F1588" s="20" t="s">
        <v>8</v>
      </c>
      <c r="G1588" s="43">
        <v>22</v>
      </c>
      <c r="H1588" s="20">
        <v>26</v>
      </c>
      <c r="I1588" s="43">
        <v>0</v>
      </c>
      <c r="J1588" s="53">
        <v>0</v>
      </c>
      <c r="K1588" s="1">
        <f t="shared" ref="K1588" si="2368">(IF(F1588="SELL",G1588-H1588,IF(F1588="BUY",H1588-G1588)))*E1588</f>
        <v>2000</v>
      </c>
      <c r="L1588" s="51">
        <v>0</v>
      </c>
      <c r="M1588" s="51">
        <v>0</v>
      </c>
      <c r="N1588" s="1">
        <f t="shared" si="2349"/>
        <v>4</v>
      </c>
      <c r="O1588" s="1">
        <f t="shared" si="2355"/>
        <v>2000</v>
      </c>
      <c r="P1588" s="31"/>
      <c r="Q1588" s="31"/>
      <c r="R1588" s="31"/>
      <c r="S1588" s="31"/>
      <c r="T1588" s="31"/>
      <c r="U1588" s="31"/>
      <c r="V1588" s="31"/>
      <c r="W1588" s="31"/>
      <c r="X1588" s="31"/>
      <c r="Y1588" s="31"/>
      <c r="Z1588" s="31"/>
      <c r="AA1588" s="31"/>
      <c r="AB1588" s="31"/>
      <c r="AC1588" s="31"/>
      <c r="AD1588" s="31"/>
      <c r="AE1588" s="31"/>
      <c r="AF1588" s="31"/>
      <c r="AG1588" s="31"/>
    </row>
    <row r="1589" spans="1:33" s="32" customFormat="1" ht="15" customHeight="1">
      <c r="A1589" s="37">
        <v>43481</v>
      </c>
      <c r="B1589" s="20" t="s">
        <v>34</v>
      </c>
      <c r="C1589" s="20" t="s">
        <v>47</v>
      </c>
      <c r="D1589" s="20">
        <v>210</v>
      </c>
      <c r="E1589" s="38">
        <v>3500</v>
      </c>
      <c r="F1589" s="20" t="s">
        <v>8</v>
      </c>
      <c r="G1589" s="43">
        <v>6</v>
      </c>
      <c r="H1589" s="20">
        <v>0</v>
      </c>
      <c r="I1589" s="43">
        <v>0</v>
      </c>
      <c r="J1589" s="53">
        <v>0</v>
      </c>
      <c r="K1589" s="1">
        <v>0</v>
      </c>
      <c r="L1589" s="51">
        <v>0</v>
      </c>
      <c r="M1589" s="51">
        <v>0</v>
      </c>
      <c r="N1589" s="1">
        <f t="shared" si="2349"/>
        <v>0</v>
      </c>
      <c r="O1589" s="1">
        <f t="shared" si="2355"/>
        <v>0</v>
      </c>
      <c r="P1589" s="31"/>
      <c r="Q1589" s="31"/>
      <c r="R1589" s="31"/>
      <c r="S1589" s="31"/>
      <c r="T1589" s="31"/>
      <c r="U1589" s="31"/>
      <c r="V1589" s="31"/>
      <c r="W1589" s="31"/>
      <c r="X1589" s="31"/>
      <c r="Y1589" s="31"/>
      <c r="Z1589" s="31"/>
      <c r="AA1589" s="31"/>
      <c r="AB1589" s="31"/>
      <c r="AC1589" s="31"/>
      <c r="AD1589" s="31"/>
      <c r="AE1589" s="31"/>
      <c r="AF1589" s="31"/>
      <c r="AG1589" s="31"/>
    </row>
    <row r="1590" spans="1:33" s="32" customFormat="1" ht="15" customHeight="1">
      <c r="A1590" s="37">
        <v>43480</v>
      </c>
      <c r="B1590" s="20" t="s">
        <v>39</v>
      </c>
      <c r="C1590" s="20" t="s">
        <v>47</v>
      </c>
      <c r="D1590" s="20">
        <v>1120</v>
      </c>
      <c r="E1590" s="38">
        <v>500</v>
      </c>
      <c r="F1590" s="20" t="s">
        <v>8</v>
      </c>
      <c r="G1590" s="43">
        <v>28.5</v>
      </c>
      <c r="H1590" s="20">
        <v>31</v>
      </c>
      <c r="I1590" s="43">
        <v>34</v>
      </c>
      <c r="J1590" s="53">
        <v>0</v>
      </c>
      <c r="K1590" s="1">
        <f t="shared" ref="K1590" si="2369">(IF(F1590="SELL",G1590-H1590,IF(F1590="BUY",H1590-G1590)))*E1590</f>
        <v>1250</v>
      </c>
      <c r="L1590" s="51">
        <f>500*3</f>
        <v>1500</v>
      </c>
      <c r="M1590" s="51">
        <v>0</v>
      </c>
      <c r="N1590" s="1">
        <f t="shared" si="2349"/>
        <v>5.5</v>
      </c>
      <c r="O1590" s="1">
        <f t="shared" si="2355"/>
        <v>2750</v>
      </c>
      <c r="P1590" s="31"/>
      <c r="Q1590" s="31"/>
      <c r="R1590" s="31"/>
      <c r="S1590" s="31"/>
      <c r="T1590" s="31"/>
      <c r="U1590" s="31"/>
      <c r="V1590" s="31"/>
      <c r="W1590" s="31"/>
      <c r="X1590" s="31"/>
      <c r="Y1590" s="31"/>
      <c r="Z1590" s="31"/>
      <c r="AA1590" s="31"/>
      <c r="AB1590" s="31"/>
      <c r="AC1590" s="31"/>
      <c r="AD1590" s="31"/>
      <c r="AE1590" s="31"/>
      <c r="AF1590" s="31"/>
      <c r="AG1590" s="31"/>
    </row>
    <row r="1591" spans="1:33" s="32" customFormat="1" ht="15" customHeight="1">
      <c r="A1591" s="37">
        <v>43479</v>
      </c>
      <c r="B1591" s="20" t="s">
        <v>313</v>
      </c>
      <c r="C1591" s="20" t="s">
        <v>47</v>
      </c>
      <c r="D1591" s="20">
        <v>125</v>
      </c>
      <c r="E1591" s="38">
        <v>6000</v>
      </c>
      <c r="F1591" s="20" t="s">
        <v>8</v>
      </c>
      <c r="G1591" s="43">
        <v>3.3</v>
      </c>
      <c r="H1591" s="20">
        <v>0</v>
      </c>
      <c r="I1591" s="43">
        <v>0</v>
      </c>
      <c r="J1591" s="53">
        <v>0</v>
      </c>
      <c r="K1591" s="1">
        <v>0</v>
      </c>
      <c r="L1591" s="51">
        <v>0</v>
      </c>
      <c r="M1591" s="51">
        <v>0</v>
      </c>
      <c r="N1591" s="1">
        <f t="shared" si="2349"/>
        <v>0</v>
      </c>
      <c r="O1591" s="1">
        <f t="shared" si="2355"/>
        <v>0</v>
      </c>
      <c r="P1591" s="31"/>
      <c r="Q1591" s="31"/>
      <c r="R1591" s="31"/>
      <c r="S1591" s="31"/>
      <c r="T1591" s="31"/>
      <c r="U1591" s="31"/>
      <c r="V1591" s="31"/>
      <c r="W1591" s="31"/>
      <c r="X1591" s="31"/>
      <c r="Y1591" s="31"/>
      <c r="Z1591" s="31"/>
      <c r="AA1591" s="31"/>
      <c r="AB1591" s="31"/>
      <c r="AC1591" s="31"/>
      <c r="AD1591" s="31"/>
      <c r="AE1591" s="31"/>
      <c r="AF1591" s="31"/>
      <c r="AG1591" s="31"/>
    </row>
    <row r="1592" spans="1:33" s="32" customFormat="1" ht="15" customHeight="1">
      <c r="A1592" s="37">
        <v>43476</v>
      </c>
      <c r="B1592" s="20" t="s">
        <v>22</v>
      </c>
      <c r="C1592" s="20" t="s">
        <v>46</v>
      </c>
      <c r="D1592" s="20">
        <v>180</v>
      </c>
      <c r="E1592" s="38">
        <v>2600</v>
      </c>
      <c r="F1592" s="20" t="s">
        <v>8</v>
      </c>
      <c r="G1592" s="43">
        <v>6.5</v>
      </c>
      <c r="H1592" s="20">
        <v>0</v>
      </c>
      <c r="I1592" s="43">
        <v>0</v>
      </c>
      <c r="J1592" s="53">
        <v>0</v>
      </c>
      <c r="K1592" s="1">
        <v>0</v>
      </c>
      <c r="L1592" s="51">
        <v>0</v>
      </c>
      <c r="M1592" s="51">
        <v>0</v>
      </c>
      <c r="N1592" s="1">
        <f t="shared" si="2349"/>
        <v>0</v>
      </c>
      <c r="O1592" s="1">
        <f t="shared" si="2355"/>
        <v>0</v>
      </c>
      <c r="P1592" s="31"/>
      <c r="Q1592" s="31"/>
      <c r="R1592" s="31"/>
      <c r="S1592" s="31"/>
      <c r="T1592" s="31"/>
      <c r="U1592" s="31"/>
      <c r="V1592" s="31"/>
      <c r="W1592" s="31"/>
      <c r="X1592" s="31"/>
      <c r="Y1592" s="31"/>
      <c r="Z1592" s="31"/>
      <c r="AA1592" s="31"/>
      <c r="AB1592" s="31"/>
      <c r="AC1592" s="31"/>
      <c r="AD1592" s="31"/>
      <c r="AE1592" s="31"/>
      <c r="AF1592" s="31"/>
      <c r="AG1592" s="31"/>
    </row>
    <row r="1593" spans="1:33" s="32" customFormat="1" ht="15" customHeight="1">
      <c r="A1593" s="37">
        <v>43475</v>
      </c>
      <c r="B1593" s="20" t="s">
        <v>22</v>
      </c>
      <c r="C1593" s="20" t="s">
        <v>46</v>
      </c>
      <c r="D1593" s="20">
        <v>185</v>
      </c>
      <c r="E1593" s="38">
        <v>2600</v>
      </c>
      <c r="F1593" s="20" t="s">
        <v>8</v>
      </c>
      <c r="G1593" s="43">
        <v>7</v>
      </c>
      <c r="H1593" s="20">
        <v>8</v>
      </c>
      <c r="I1593" s="43">
        <v>9</v>
      </c>
      <c r="J1593" s="53">
        <v>0</v>
      </c>
      <c r="K1593" s="1">
        <f t="shared" ref="K1593:K1594" si="2370">(IF(F1593="SELL",G1593-H1593,IF(F1593="BUY",H1593-G1593)))*E1593</f>
        <v>2600</v>
      </c>
      <c r="L1593" s="51">
        <f>2600*1</f>
        <v>2600</v>
      </c>
      <c r="M1593" s="51">
        <v>0</v>
      </c>
      <c r="N1593" s="1">
        <f t="shared" si="2349"/>
        <v>2</v>
      </c>
      <c r="O1593" s="1">
        <f t="shared" si="2355"/>
        <v>5200</v>
      </c>
      <c r="P1593" s="31"/>
      <c r="Q1593" s="31"/>
      <c r="R1593" s="31"/>
      <c r="S1593" s="31"/>
      <c r="T1593" s="31"/>
      <c r="U1593" s="31"/>
      <c r="V1593" s="31"/>
      <c r="W1593" s="31"/>
      <c r="X1593" s="31"/>
      <c r="Y1593" s="31"/>
      <c r="Z1593" s="31"/>
      <c r="AA1593" s="31"/>
      <c r="AB1593" s="31"/>
      <c r="AC1593" s="31"/>
      <c r="AD1593" s="31"/>
      <c r="AE1593" s="31"/>
      <c r="AF1593" s="31"/>
      <c r="AG1593" s="31"/>
    </row>
    <row r="1594" spans="1:33" s="32" customFormat="1" ht="15" customHeight="1">
      <c r="A1594" s="37">
        <v>43474</v>
      </c>
      <c r="B1594" s="20" t="s">
        <v>332</v>
      </c>
      <c r="C1594" s="20" t="s">
        <v>47</v>
      </c>
      <c r="D1594" s="20">
        <v>700</v>
      </c>
      <c r="E1594" s="38">
        <v>1200</v>
      </c>
      <c r="F1594" s="20" t="s">
        <v>8</v>
      </c>
      <c r="G1594" s="43">
        <v>21</v>
      </c>
      <c r="H1594" s="20">
        <v>18</v>
      </c>
      <c r="I1594" s="43">
        <v>0</v>
      </c>
      <c r="J1594" s="53">
        <v>0</v>
      </c>
      <c r="K1594" s="1">
        <f t="shared" si="2370"/>
        <v>-3600</v>
      </c>
      <c r="L1594" s="51">
        <v>0</v>
      </c>
      <c r="M1594" s="51">
        <v>0</v>
      </c>
      <c r="N1594" s="1">
        <f t="shared" si="2349"/>
        <v>-3</v>
      </c>
      <c r="O1594" s="1">
        <f t="shared" si="2355"/>
        <v>-3600</v>
      </c>
      <c r="P1594" s="31"/>
      <c r="Q1594" s="31"/>
      <c r="R1594" s="31"/>
      <c r="S1594" s="31"/>
      <c r="T1594" s="31"/>
      <c r="U1594" s="31"/>
      <c r="V1594" s="31"/>
      <c r="W1594" s="31"/>
      <c r="X1594" s="31"/>
      <c r="Y1594" s="31"/>
      <c r="Z1594" s="31"/>
      <c r="AA1594" s="31"/>
      <c r="AB1594" s="31"/>
      <c r="AC1594" s="31"/>
      <c r="AD1594" s="31"/>
      <c r="AE1594" s="31"/>
      <c r="AF1594" s="31"/>
      <c r="AG1594" s="31"/>
    </row>
    <row r="1595" spans="1:33" s="32" customFormat="1" ht="15" customHeight="1">
      <c r="A1595" s="37">
        <v>43473</v>
      </c>
      <c r="B1595" s="20" t="s">
        <v>270</v>
      </c>
      <c r="C1595" s="20" t="s">
        <v>47</v>
      </c>
      <c r="D1595" s="20">
        <v>155</v>
      </c>
      <c r="E1595" s="38">
        <v>2250</v>
      </c>
      <c r="F1595" s="20" t="s">
        <v>8</v>
      </c>
      <c r="G1595" s="43">
        <v>7</v>
      </c>
      <c r="H1595" s="20">
        <v>8</v>
      </c>
      <c r="I1595" s="43">
        <v>0</v>
      </c>
      <c r="J1595" s="53">
        <v>0</v>
      </c>
      <c r="K1595" s="1">
        <f t="shared" ref="K1595" si="2371">(IF(F1595="SELL",G1595-H1595,IF(F1595="BUY",H1595-G1595)))*E1595</f>
        <v>2250</v>
      </c>
      <c r="L1595" s="51">
        <v>0</v>
      </c>
      <c r="M1595" s="51">
        <v>0</v>
      </c>
      <c r="N1595" s="1">
        <f t="shared" si="2349"/>
        <v>1</v>
      </c>
      <c r="O1595" s="1">
        <f t="shared" si="2355"/>
        <v>2250</v>
      </c>
      <c r="P1595" s="31"/>
      <c r="Q1595" s="31"/>
      <c r="R1595" s="31"/>
      <c r="S1595" s="31"/>
      <c r="T1595" s="31"/>
      <c r="U1595" s="31"/>
      <c r="V1595" s="31"/>
      <c r="W1595" s="31"/>
      <c r="X1595" s="31"/>
      <c r="Y1595" s="31"/>
      <c r="Z1595" s="31"/>
      <c r="AA1595" s="31"/>
      <c r="AB1595" s="31"/>
      <c r="AC1595" s="31"/>
      <c r="AD1595" s="31"/>
      <c r="AE1595" s="31"/>
      <c r="AF1595" s="31"/>
      <c r="AG1595" s="31"/>
    </row>
    <row r="1596" spans="1:33" s="32" customFormat="1" ht="15" customHeight="1">
      <c r="A1596" s="37">
        <v>43467</v>
      </c>
      <c r="B1596" s="20" t="s">
        <v>397</v>
      </c>
      <c r="C1596" s="20" t="s">
        <v>47</v>
      </c>
      <c r="D1596" s="20">
        <v>365</v>
      </c>
      <c r="E1596" s="38">
        <v>2750</v>
      </c>
      <c r="F1596" s="20" t="s">
        <v>8</v>
      </c>
      <c r="G1596" s="43">
        <v>10.8</v>
      </c>
      <c r="H1596" s="20">
        <v>11.8</v>
      </c>
      <c r="I1596" s="43">
        <v>0</v>
      </c>
      <c r="J1596" s="53">
        <v>0</v>
      </c>
      <c r="K1596" s="1">
        <f t="shared" ref="K1596" si="2372">(IF(F1596="SELL",G1596-H1596,IF(F1596="BUY",H1596-G1596)))*E1596</f>
        <v>2750</v>
      </c>
      <c r="L1596" s="51">
        <v>0</v>
      </c>
      <c r="M1596" s="51">
        <v>0</v>
      </c>
      <c r="N1596" s="1">
        <f t="shared" si="2349"/>
        <v>1</v>
      </c>
      <c r="O1596" s="1">
        <f t="shared" si="2355"/>
        <v>2750</v>
      </c>
      <c r="P1596" s="31"/>
      <c r="Q1596" s="31"/>
      <c r="R1596" s="31"/>
      <c r="S1596" s="31"/>
      <c r="T1596" s="31"/>
      <c r="U1596" s="31"/>
      <c r="V1596" s="31"/>
      <c r="W1596" s="31"/>
      <c r="X1596" s="31"/>
      <c r="Y1596" s="31"/>
      <c r="Z1596" s="31"/>
      <c r="AA1596" s="31"/>
      <c r="AB1596" s="31"/>
      <c r="AC1596" s="31"/>
      <c r="AD1596" s="31"/>
      <c r="AE1596" s="31"/>
      <c r="AF1596" s="31"/>
      <c r="AG1596" s="31"/>
    </row>
    <row r="1597" spans="1:33" s="32" customFormat="1" ht="15" customHeight="1">
      <c r="A1597" s="37">
        <v>43467</v>
      </c>
      <c r="B1597" s="20" t="s">
        <v>396</v>
      </c>
      <c r="C1597" s="20" t="s">
        <v>47</v>
      </c>
      <c r="D1597" s="20">
        <v>90</v>
      </c>
      <c r="E1597" s="38">
        <v>8000</v>
      </c>
      <c r="F1597" s="20" t="s">
        <v>8</v>
      </c>
      <c r="G1597" s="43">
        <v>4.8499999999999996</v>
      </c>
      <c r="H1597" s="20">
        <v>5.15</v>
      </c>
      <c r="I1597" s="43">
        <v>0</v>
      </c>
      <c r="J1597" s="53">
        <v>0</v>
      </c>
      <c r="K1597" s="1">
        <f t="shared" ref="K1597" si="2373">(IF(F1597="SELL",G1597-H1597,IF(F1597="BUY",H1597-G1597)))*E1597</f>
        <v>2400.0000000000055</v>
      </c>
      <c r="L1597" s="51">
        <v>0</v>
      </c>
      <c r="M1597" s="51">
        <v>0</v>
      </c>
      <c r="N1597" s="1">
        <f t="shared" si="2349"/>
        <v>0.30000000000000066</v>
      </c>
      <c r="O1597" s="1">
        <f t="shared" si="2355"/>
        <v>2400.0000000000055</v>
      </c>
      <c r="P1597" s="31"/>
      <c r="Q1597" s="31"/>
      <c r="R1597" s="31"/>
      <c r="S1597" s="31"/>
      <c r="T1597" s="31"/>
      <c r="U1597" s="31"/>
      <c r="V1597" s="31"/>
      <c r="W1597" s="31"/>
      <c r="X1597" s="31"/>
      <c r="Y1597" s="31"/>
      <c r="Z1597" s="31"/>
      <c r="AA1597" s="31"/>
      <c r="AB1597" s="31"/>
      <c r="AC1597" s="31"/>
      <c r="AD1597" s="31"/>
      <c r="AE1597" s="31"/>
      <c r="AF1597" s="31"/>
      <c r="AG1597" s="31"/>
    </row>
    <row r="1598" spans="1:33" s="32" customFormat="1" ht="15" customHeight="1">
      <c r="A1598" s="37">
        <v>43466</v>
      </c>
      <c r="B1598" s="20" t="s">
        <v>395</v>
      </c>
      <c r="C1598" s="20" t="s">
        <v>47</v>
      </c>
      <c r="D1598" s="20">
        <v>360</v>
      </c>
      <c r="E1598" s="38">
        <v>1800</v>
      </c>
      <c r="F1598" s="20" t="s">
        <v>8</v>
      </c>
      <c r="G1598" s="43">
        <v>12.5</v>
      </c>
      <c r="H1598" s="20">
        <v>13.5</v>
      </c>
      <c r="I1598" s="43">
        <v>0</v>
      </c>
      <c r="J1598" s="53">
        <v>0</v>
      </c>
      <c r="K1598" s="1">
        <f t="shared" ref="K1598" si="2374">(IF(F1598="SELL",G1598-H1598,IF(F1598="BUY",H1598-G1598)))*E1598</f>
        <v>1800</v>
      </c>
      <c r="L1598" s="51">
        <v>0</v>
      </c>
      <c r="M1598" s="51">
        <v>0</v>
      </c>
      <c r="N1598" s="1">
        <f t="shared" si="2349"/>
        <v>1</v>
      </c>
      <c r="O1598" s="1">
        <f t="shared" si="2355"/>
        <v>1800</v>
      </c>
      <c r="P1598" s="31"/>
      <c r="Q1598" s="31"/>
      <c r="R1598" s="31"/>
      <c r="S1598" s="31"/>
      <c r="T1598" s="31"/>
      <c r="U1598" s="31"/>
      <c r="V1598" s="31"/>
      <c r="W1598" s="31"/>
      <c r="X1598" s="31"/>
      <c r="Y1598" s="31"/>
      <c r="Z1598" s="31"/>
      <c r="AA1598" s="31"/>
      <c r="AB1598" s="31"/>
      <c r="AC1598" s="31"/>
      <c r="AD1598" s="31"/>
      <c r="AE1598" s="31"/>
      <c r="AF1598" s="31"/>
      <c r="AG1598" s="31"/>
    </row>
    <row r="1599" spans="1:33" s="32" customFormat="1" ht="15" customHeight="1">
      <c r="A1599" s="27">
        <v>43465</v>
      </c>
      <c r="B1599" s="15" t="s">
        <v>195</v>
      </c>
      <c r="C1599" s="15" t="s">
        <v>47</v>
      </c>
      <c r="D1599" s="15">
        <v>530</v>
      </c>
      <c r="E1599" s="28">
        <v>1061</v>
      </c>
      <c r="F1599" s="15" t="s">
        <v>8</v>
      </c>
      <c r="G1599" s="45">
        <v>16.149999999999999</v>
      </c>
      <c r="H1599" s="15">
        <v>17.5</v>
      </c>
      <c r="I1599" s="45">
        <v>0</v>
      </c>
      <c r="J1599" s="54">
        <v>0</v>
      </c>
      <c r="K1599" s="1">
        <f t="shared" ref="K1599" si="2375">(IF(F1599="SELL",G1599-H1599,IF(F1599="BUY",H1599-G1599)))*E1599</f>
        <v>1432.3500000000015</v>
      </c>
      <c r="L1599" s="51">
        <v>0</v>
      </c>
      <c r="M1599" s="51">
        <v>0</v>
      </c>
      <c r="N1599" s="1">
        <f t="shared" si="2349"/>
        <v>1.3500000000000014</v>
      </c>
      <c r="O1599" s="1">
        <f t="shared" si="2355"/>
        <v>1432.3500000000015</v>
      </c>
      <c r="P1599" s="31"/>
      <c r="Q1599" s="31"/>
      <c r="R1599" s="31"/>
      <c r="S1599" s="31"/>
      <c r="T1599" s="31"/>
      <c r="U1599" s="31"/>
      <c r="V1599" s="31"/>
      <c r="W1599" s="31"/>
      <c r="X1599" s="31"/>
      <c r="Y1599" s="31"/>
      <c r="Z1599" s="31"/>
      <c r="AA1599" s="31"/>
      <c r="AB1599" s="31"/>
      <c r="AC1599" s="31"/>
      <c r="AD1599" s="31"/>
      <c r="AE1599" s="31"/>
      <c r="AF1599" s="31"/>
      <c r="AG1599" s="31"/>
    </row>
    <row r="1600" spans="1:33" s="32" customFormat="1" ht="15" customHeight="1">
      <c r="A1600" s="27">
        <v>43465</v>
      </c>
      <c r="B1600" s="15" t="s">
        <v>270</v>
      </c>
      <c r="C1600" s="15" t="s">
        <v>47</v>
      </c>
      <c r="D1600" s="15">
        <v>165</v>
      </c>
      <c r="E1600" s="28">
        <v>2250</v>
      </c>
      <c r="F1600" s="15" t="s">
        <v>8</v>
      </c>
      <c r="G1600" s="45">
        <v>8.6999999999999993</v>
      </c>
      <c r="H1600" s="15">
        <v>9.1999999999999993</v>
      </c>
      <c r="I1600" s="45">
        <v>0</v>
      </c>
      <c r="J1600" s="54">
        <v>0</v>
      </c>
      <c r="K1600" s="1">
        <f t="shared" ref="K1600" si="2376">(IF(F1600="SELL",G1600-H1600,IF(F1600="BUY",H1600-G1600)))*E1600</f>
        <v>1125</v>
      </c>
      <c r="L1600" s="51">
        <v>0</v>
      </c>
      <c r="M1600" s="51">
        <v>0</v>
      </c>
      <c r="N1600" s="1">
        <f t="shared" si="2349"/>
        <v>0.5</v>
      </c>
      <c r="O1600" s="1">
        <f t="shared" si="2355"/>
        <v>1125</v>
      </c>
      <c r="P1600" s="31"/>
      <c r="Q1600" s="31"/>
      <c r="R1600" s="31"/>
      <c r="S1600" s="31"/>
      <c r="T1600" s="31"/>
      <c r="U1600" s="31"/>
      <c r="V1600" s="31"/>
      <c r="W1600" s="31"/>
      <c r="X1600" s="31"/>
      <c r="Y1600" s="31"/>
      <c r="Z1600" s="31"/>
      <c r="AA1600" s="31"/>
      <c r="AB1600" s="31"/>
      <c r="AC1600" s="31"/>
      <c r="AD1600" s="31"/>
      <c r="AE1600" s="31"/>
      <c r="AF1600" s="31"/>
      <c r="AG1600" s="31"/>
    </row>
    <row r="1601" spans="1:33" s="32" customFormat="1" ht="15" customHeight="1">
      <c r="A1601" s="27">
        <v>43462</v>
      </c>
      <c r="B1601" s="15" t="s">
        <v>298</v>
      </c>
      <c r="C1601" s="15" t="s">
        <v>47</v>
      </c>
      <c r="D1601" s="15">
        <v>2700</v>
      </c>
      <c r="E1601" s="28">
        <v>250</v>
      </c>
      <c r="F1601" s="15" t="s">
        <v>8</v>
      </c>
      <c r="G1601" s="45">
        <v>71</v>
      </c>
      <c r="H1601" s="15">
        <v>74</v>
      </c>
      <c r="I1601" s="45">
        <v>0</v>
      </c>
      <c r="J1601" s="54">
        <v>0</v>
      </c>
      <c r="K1601" s="1">
        <f t="shared" ref="K1601" si="2377">(IF(F1601="SELL",G1601-H1601,IF(F1601="BUY",H1601-G1601)))*E1601</f>
        <v>750</v>
      </c>
      <c r="L1601" s="51">
        <v>0</v>
      </c>
      <c r="M1601" s="51">
        <v>0</v>
      </c>
      <c r="N1601" s="1">
        <f t="shared" si="2349"/>
        <v>3</v>
      </c>
      <c r="O1601" s="1">
        <f t="shared" si="2355"/>
        <v>750</v>
      </c>
      <c r="P1601" s="31"/>
      <c r="Q1601" s="31"/>
      <c r="R1601" s="31"/>
      <c r="S1601" s="31"/>
      <c r="T1601" s="31"/>
      <c r="U1601" s="31"/>
      <c r="V1601" s="31"/>
      <c r="W1601" s="31"/>
      <c r="X1601" s="31"/>
      <c r="Y1601" s="31"/>
      <c r="Z1601" s="31"/>
      <c r="AA1601" s="31"/>
      <c r="AB1601" s="31"/>
      <c r="AC1601" s="31"/>
      <c r="AD1601" s="31"/>
      <c r="AE1601" s="31"/>
      <c r="AF1601" s="31"/>
      <c r="AG1601" s="31"/>
    </row>
    <row r="1602" spans="1:33" s="32" customFormat="1" ht="15" customHeight="1">
      <c r="A1602" s="27">
        <v>43462</v>
      </c>
      <c r="B1602" s="15" t="s">
        <v>205</v>
      </c>
      <c r="C1602" s="15" t="s">
        <v>47</v>
      </c>
      <c r="D1602" s="15">
        <v>1520</v>
      </c>
      <c r="E1602" s="28">
        <v>400</v>
      </c>
      <c r="F1602" s="15" t="s">
        <v>8</v>
      </c>
      <c r="G1602" s="45">
        <v>35</v>
      </c>
      <c r="H1602" s="15">
        <v>38</v>
      </c>
      <c r="I1602" s="45">
        <v>0</v>
      </c>
      <c r="J1602" s="54">
        <v>0</v>
      </c>
      <c r="K1602" s="1">
        <f t="shared" ref="K1602" si="2378">(IF(F1602="SELL",G1602-H1602,IF(F1602="BUY",H1602-G1602)))*E1602</f>
        <v>1200</v>
      </c>
      <c r="L1602" s="51">
        <v>0</v>
      </c>
      <c r="M1602" s="51">
        <v>0</v>
      </c>
      <c r="N1602" s="1">
        <f t="shared" si="2349"/>
        <v>3</v>
      </c>
      <c r="O1602" s="1">
        <f t="shared" si="2355"/>
        <v>1200</v>
      </c>
      <c r="P1602" s="31"/>
      <c r="Q1602" s="31"/>
      <c r="R1602" s="31"/>
      <c r="S1602" s="31"/>
      <c r="T1602" s="31"/>
      <c r="U1602" s="31"/>
      <c r="V1602" s="31"/>
      <c r="W1602" s="31"/>
      <c r="X1602" s="31"/>
      <c r="Y1602" s="31"/>
      <c r="Z1602" s="31"/>
      <c r="AA1602" s="31"/>
      <c r="AB1602" s="31"/>
      <c r="AC1602" s="31"/>
      <c r="AD1602" s="31"/>
      <c r="AE1602" s="31"/>
      <c r="AF1602" s="31"/>
      <c r="AG1602" s="31"/>
    </row>
    <row r="1603" spans="1:33" s="32" customFormat="1" ht="15" customHeight="1">
      <c r="A1603" s="27">
        <v>43461</v>
      </c>
      <c r="B1603" s="15" t="s">
        <v>190</v>
      </c>
      <c r="C1603" s="15" t="s">
        <v>47</v>
      </c>
      <c r="D1603" s="15">
        <v>1120</v>
      </c>
      <c r="E1603" s="28">
        <v>550</v>
      </c>
      <c r="F1603" s="15" t="s">
        <v>8</v>
      </c>
      <c r="G1603" s="45">
        <v>9</v>
      </c>
      <c r="H1603" s="15">
        <v>4</v>
      </c>
      <c r="I1603" s="45">
        <v>0</v>
      </c>
      <c r="J1603" s="54">
        <v>0</v>
      </c>
      <c r="K1603" s="1">
        <f t="shared" ref="K1603" si="2379">(IF(F1603="SELL",G1603-H1603,IF(F1603="BUY",H1603-G1603)))*E1603</f>
        <v>-2750</v>
      </c>
      <c r="L1603" s="51">
        <v>0</v>
      </c>
      <c r="M1603" s="51">
        <v>0</v>
      </c>
      <c r="N1603" s="1">
        <f t="shared" si="2349"/>
        <v>-5</v>
      </c>
      <c r="O1603" s="1">
        <f t="shared" si="2355"/>
        <v>-2750</v>
      </c>
      <c r="P1603" s="31"/>
      <c r="Q1603" s="31"/>
      <c r="R1603" s="31"/>
      <c r="S1603" s="31"/>
      <c r="T1603" s="31"/>
      <c r="U1603" s="31"/>
      <c r="V1603" s="31"/>
      <c r="W1603" s="31"/>
      <c r="X1603" s="31"/>
      <c r="Y1603" s="31"/>
      <c r="Z1603" s="31"/>
      <c r="AA1603" s="31"/>
      <c r="AB1603" s="31"/>
      <c r="AC1603" s="31"/>
      <c r="AD1603" s="31"/>
      <c r="AE1603" s="31"/>
      <c r="AF1603" s="31"/>
      <c r="AG1603" s="31"/>
    </row>
    <row r="1604" spans="1:33" s="32" customFormat="1" ht="15" customHeight="1">
      <c r="A1604" s="27">
        <v>43460</v>
      </c>
      <c r="B1604" s="15" t="s">
        <v>157</v>
      </c>
      <c r="C1604" s="15" t="s">
        <v>47</v>
      </c>
      <c r="D1604" s="15">
        <v>880</v>
      </c>
      <c r="E1604" s="28">
        <v>750</v>
      </c>
      <c r="F1604" s="15" t="s">
        <v>8</v>
      </c>
      <c r="G1604" s="45">
        <v>13</v>
      </c>
      <c r="H1604" s="15">
        <v>14.5</v>
      </c>
      <c r="I1604" s="45">
        <v>0</v>
      </c>
      <c r="J1604" s="54">
        <v>0</v>
      </c>
      <c r="K1604" s="1">
        <f t="shared" ref="K1604" si="2380">(IF(F1604="SELL",G1604-H1604,IF(F1604="BUY",H1604-G1604)))*E1604</f>
        <v>1125</v>
      </c>
      <c r="L1604" s="51">
        <v>0</v>
      </c>
      <c r="M1604" s="51">
        <v>0</v>
      </c>
      <c r="N1604" s="1">
        <f t="shared" si="2349"/>
        <v>1.5</v>
      </c>
      <c r="O1604" s="1">
        <f t="shared" si="2355"/>
        <v>1125</v>
      </c>
      <c r="P1604" s="31"/>
      <c r="Q1604" s="31"/>
      <c r="R1604" s="31"/>
      <c r="S1604" s="31"/>
      <c r="T1604" s="31"/>
      <c r="U1604" s="31"/>
      <c r="V1604" s="31"/>
      <c r="W1604" s="31"/>
      <c r="X1604" s="31"/>
      <c r="Y1604" s="31"/>
      <c r="Z1604" s="31"/>
      <c r="AA1604" s="31"/>
      <c r="AB1604" s="31"/>
      <c r="AC1604" s="31"/>
      <c r="AD1604" s="31"/>
      <c r="AE1604" s="31"/>
      <c r="AF1604" s="31"/>
      <c r="AG1604" s="31"/>
    </row>
    <row r="1605" spans="1:33" s="32" customFormat="1" ht="15" customHeight="1">
      <c r="A1605" s="27">
        <v>43458</v>
      </c>
      <c r="B1605" s="15" t="s">
        <v>313</v>
      </c>
      <c r="C1605" s="15" t="s">
        <v>47</v>
      </c>
      <c r="D1605" s="15">
        <v>110</v>
      </c>
      <c r="E1605" s="28">
        <v>6000</v>
      </c>
      <c r="F1605" s="15" t="s">
        <v>8</v>
      </c>
      <c r="G1605" s="45">
        <v>3.25</v>
      </c>
      <c r="H1605" s="15">
        <v>3.75</v>
      </c>
      <c r="I1605" s="45">
        <v>0</v>
      </c>
      <c r="J1605" s="54">
        <v>0</v>
      </c>
      <c r="K1605" s="1">
        <f t="shared" ref="K1605" si="2381">(IF(F1605="SELL",G1605-H1605,IF(F1605="BUY",H1605-G1605)))*E1605</f>
        <v>3000</v>
      </c>
      <c r="L1605" s="51">
        <v>0</v>
      </c>
      <c r="M1605" s="51">
        <v>0</v>
      </c>
      <c r="N1605" s="1">
        <f t="shared" si="2349"/>
        <v>0.5</v>
      </c>
      <c r="O1605" s="1">
        <f t="shared" si="2355"/>
        <v>3000</v>
      </c>
      <c r="P1605" s="31"/>
      <c r="Q1605" s="31"/>
      <c r="R1605" s="31"/>
      <c r="S1605" s="31"/>
      <c r="T1605" s="31"/>
      <c r="U1605" s="31"/>
      <c r="V1605" s="31"/>
      <c r="W1605" s="31"/>
      <c r="X1605" s="31"/>
      <c r="Y1605" s="31"/>
      <c r="Z1605" s="31"/>
      <c r="AA1605" s="31"/>
      <c r="AB1605" s="31"/>
      <c r="AC1605" s="31"/>
      <c r="AD1605" s="31"/>
      <c r="AE1605" s="31"/>
      <c r="AF1605" s="31"/>
      <c r="AG1605" s="31"/>
    </row>
    <row r="1606" spans="1:33" s="32" customFormat="1" ht="15" customHeight="1">
      <c r="A1606" s="27">
        <v>43458</v>
      </c>
      <c r="B1606" s="15" t="s">
        <v>248</v>
      </c>
      <c r="C1606" s="15" t="s">
        <v>47</v>
      </c>
      <c r="D1606" s="15">
        <v>330</v>
      </c>
      <c r="E1606" s="28">
        <v>1300</v>
      </c>
      <c r="F1606" s="15" t="s">
        <v>8</v>
      </c>
      <c r="G1606" s="45">
        <v>4.5</v>
      </c>
      <c r="H1606" s="15">
        <v>0</v>
      </c>
      <c r="I1606" s="45">
        <v>0</v>
      </c>
      <c r="J1606" s="54">
        <v>0</v>
      </c>
      <c r="K1606" s="1">
        <v>0</v>
      </c>
      <c r="L1606" s="51">
        <v>0</v>
      </c>
      <c r="M1606" s="51">
        <v>0</v>
      </c>
      <c r="N1606" s="1">
        <f t="shared" si="2349"/>
        <v>0</v>
      </c>
      <c r="O1606" s="1">
        <f t="shared" si="2355"/>
        <v>0</v>
      </c>
      <c r="P1606" s="31"/>
      <c r="Q1606" s="31"/>
      <c r="R1606" s="31"/>
      <c r="S1606" s="31"/>
      <c r="T1606" s="31"/>
      <c r="U1606" s="31"/>
      <c r="V1606" s="31"/>
      <c r="W1606" s="31"/>
      <c r="X1606" s="31"/>
      <c r="Y1606" s="31"/>
      <c r="Z1606" s="31"/>
      <c r="AA1606" s="31"/>
      <c r="AB1606" s="31"/>
      <c r="AC1606" s="31"/>
      <c r="AD1606" s="31"/>
      <c r="AE1606" s="31"/>
      <c r="AF1606" s="31"/>
      <c r="AG1606" s="31"/>
    </row>
    <row r="1607" spans="1:33" s="32" customFormat="1" ht="15" customHeight="1">
      <c r="A1607" s="27">
        <v>43455</v>
      </c>
      <c r="B1607" s="15" t="s">
        <v>311</v>
      </c>
      <c r="C1607" s="15" t="s">
        <v>47</v>
      </c>
      <c r="D1607" s="15">
        <v>1500</v>
      </c>
      <c r="E1607" s="28">
        <v>400</v>
      </c>
      <c r="F1607" s="15" t="s">
        <v>8</v>
      </c>
      <c r="G1607" s="45">
        <v>21</v>
      </c>
      <c r="H1607" s="15">
        <v>25</v>
      </c>
      <c r="I1607" s="45">
        <v>0</v>
      </c>
      <c r="J1607" s="54">
        <v>0</v>
      </c>
      <c r="K1607" s="1">
        <f t="shared" ref="K1607" si="2382">(IF(F1607="SELL",G1607-H1607,IF(F1607="BUY",H1607-G1607)))*E1607</f>
        <v>1600</v>
      </c>
      <c r="L1607" s="51">
        <v>0</v>
      </c>
      <c r="M1607" s="51">
        <v>0</v>
      </c>
      <c r="N1607" s="1">
        <f t="shared" si="2349"/>
        <v>4</v>
      </c>
      <c r="O1607" s="1">
        <f t="shared" si="2355"/>
        <v>1600</v>
      </c>
      <c r="P1607" s="31"/>
      <c r="Q1607" s="31"/>
      <c r="R1607" s="31"/>
      <c r="S1607" s="31"/>
      <c r="T1607" s="31"/>
      <c r="U1607" s="31"/>
      <c r="V1607" s="31"/>
      <c r="W1607" s="31"/>
      <c r="X1607" s="31"/>
      <c r="Y1607" s="31"/>
      <c r="Z1607" s="31"/>
      <c r="AA1607" s="31"/>
      <c r="AB1607" s="31"/>
      <c r="AC1607" s="31"/>
      <c r="AD1607" s="31"/>
      <c r="AE1607" s="31"/>
      <c r="AF1607" s="31"/>
      <c r="AG1607" s="31"/>
    </row>
    <row r="1608" spans="1:33" s="32" customFormat="1" ht="15" customHeight="1">
      <c r="A1608" s="27">
        <v>43455</v>
      </c>
      <c r="B1608" s="15" t="s">
        <v>144</v>
      </c>
      <c r="C1608" s="15" t="s">
        <v>47</v>
      </c>
      <c r="D1608" s="15">
        <v>320</v>
      </c>
      <c r="E1608" s="28">
        <v>1700</v>
      </c>
      <c r="F1608" s="15" t="s">
        <v>8</v>
      </c>
      <c r="G1608" s="45">
        <v>5.7</v>
      </c>
      <c r="H1608" s="15">
        <v>3</v>
      </c>
      <c r="I1608" s="45">
        <v>0</v>
      </c>
      <c r="J1608" s="54">
        <v>0</v>
      </c>
      <c r="K1608" s="1">
        <f t="shared" ref="K1608" si="2383">(IF(F1608="SELL",G1608-H1608,IF(F1608="BUY",H1608-G1608)))*E1608</f>
        <v>-4590</v>
      </c>
      <c r="L1608" s="51">
        <v>0</v>
      </c>
      <c r="M1608" s="51">
        <v>0</v>
      </c>
      <c r="N1608" s="1">
        <f t="shared" si="2349"/>
        <v>-2.7</v>
      </c>
      <c r="O1608" s="1">
        <f t="shared" si="2355"/>
        <v>-4590</v>
      </c>
      <c r="P1608" s="31"/>
      <c r="Q1608" s="31"/>
      <c r="R1608" s="31"/>
      <c r="S1608" s="31"/>
      <c r="T1608" s="31"/>
      <c r="U1608" s="31"/>
      <c r="V1608" s="31"/>
      <c r="W1608" s="31"/>
      <c r="X1608" s="31"/>
      <c r="Y1608" s="31"/>
      <c r="Z1608" s="31"/>
      <c r="AA1608" s="31"/>
      <c r="AB1608" s="31"/>
      <c r="AC1608" s="31"/>
      <c r="AD1608" s="31"/>
      <c r="AE1608" s="31"/>
      <c r="AF1608" s="31"/>
      <c r="AG1608" s="31"/>
    </row>
    <row r="1609" spans="1:33" s="32" customFormat="1" ht="15" customHeight="1">
      <c r="A1609" s="27">
        <v>43454</v>
      </c>
      <c r="B1609" s="15" t="s">
        <v>336</v>
      </c>
      <c r="C1609" s="15" t="s">
        <v>47</v>
      </c>
      <c r="D1609" s="15">
        <v>960</v>
      </c>
      <c r="E1609" s="28">
        <v>800</v>
      </c>
      <c r="F1609" s="15" t="s">
        <v>8</v>
      </c>
      <c r="G1609" s="45">
        <v>26</v>
      </c>
      <c r="H1609" s="15">
        <v>28</v>
      </c>
      <c r="I1609" s="45">
        <v>0</v>
      </c>
      <c r="J1609" s="54">
        <v>0</v>
      </c>
      <c r="K1609" s="1">
        <f t="shared" ref="K1609" si="2384">(IF(F1609="SELL",G1609-H1609,IF(F1609="BUY",H1609-G1609)))*E1609</f>
        <v>1600</v>
      </c>
      <c r="L1609" s="51">
        <v>0</v>
      </c>
      <c r="M1609" s="51">
        <v>0</v>
      </c>
      <c r="N1609" s="1">
        <f t="shared" si="2349"/>
        <v>2</v>
      </c>
      <c r="O1609" s="1">
        <f t="shared" si="2355"/>
        <v>1600</v>
      </c>
      <c r="P1609" s="31"/>
      <c r="Q1609" s="31"/>
      <c r="R1609" s="31"/>
      <c r="S1609" s="31"/>
      <c r="T1609" s="31"/>
      <c r="U1609" s="31"/>
      <c r="V1609" s="31"/>
      <c r="W1609" s="31"/>
      <c r="X1609" s="31"/>
      <c r="Y1609" s="31"/>
      <c r="Z1609" s="31"/>
      <c r="AA1609" s="31"/>
      <c r="AB1609" s="31"/>
      <c r="AC1609" s="31"/>
      <c r="AD1609" s="31"/>
      <c r="AE1609" s="31"/>
      <c r="AF1609" s="31"/>
      <c r="AG1609" s="31"/>
    </row>
    <row r="1610" spans="1:33" s="32" customFormat="1" ht="15" customHeight="1">
      <c r="A1610" s="27">
        <v>43454</v>
      </c>
      <c r="B1610" s="15" t="s">
        <v>192</v>
      </c>
      <c r="C1610" s="15" t="s">
        <v>47</v>
      </c>
      <c r="D1610" s="15">
        <v>720</v>
      </c>
      <c r="E1610" s="28">
        <v>550</v>
      </c>
      <c r="F1610" s="15" t="s">
        <v>8</v>
      </c>
      <c r="G1610" s="45">
        <v>11</v>
      </c>
      <c r="H1610" s="15">
        <v>13</v>
      </c>
      <c r="I1610" s="45">
        <v>0</v>
      </c>
      <c r="J1610" s="54">
        <v>0</v>
      </c>
      <c r="K1610" s="1">
        <f t="shared" ref="K1610" si="2385">(IF(F1610="SELL",G1610-H1610,IF(F1610="BUY",H1610-G1610)))*E1610</f>
        <v>1100</v>
      </c>
      <c r="L1610" s="51">
        <v>0</v>
      </c>
      <c r="M1610" s="51">
        <v>0</v>
      </c>
      <c r="N1610" s="1">
        <f t="shared" si="2349"/>
        <v>2</v>
      </c>
      <c r="O1610" s="1">
        <f t="shared" si="2355"/>
        <v>1100</v>
      </c>
      <c r="P1610" s="31"/>
      <c r="Q1610" s="31"/>
      <c r="R1610" s="31"/>
      <c r="S1610" s="31"/>
      <c r="T1610" s="31"/>
      <c r="U1610" s="31"/>
      <c r="V1610" s="31"/>
      <c r="W1610" s="31"/>
      <c r="X1610" s="31"/>
      <c r="Y1610" s="31"/>
      <c r="Z1610" s="31"/>
      <c r="AA1610" s="31"/>
      <c r="AB1610" s="31"/>
      <c r="AC1610" s="31"/>
      <c r="AD1610" s="31"/>
      <c r="AE1610" s="31"/>
      <c r="AF1610" s="31"/>
      <c r="AG1610" s="31"/>
    </row>
    <row r="1611" spans="1:33" s="32" customFormat="1" ht="15" customHeight="1">
      <c r="A1611" s="27">
        <v>43453</v>
      </c>
      <c r="B1611" s="15" t="s">
        <v>394</v>
      </c>
      <c r="C1611" s="15" t="s">
        <v>47</v>
      </c>
      <c r="D1611" s="15">
        <v>160</v>
      </c>
      <c r="E1611" s="28">
        <v>2500</v>
      </c>
      <c r="F1611" s="15" t="s">
        <v>8</v>
      </c>
      <c r="G1611" s="45">
        <v>4.55</v>
      </c>
      <c r="H1611" s="15">
        <v>5.0999999999999996</v>
      </c>
      <c r="I1611" s="45">
        <v>0</v>
      </c>
      <c r="J1611" s="54">
        <v>0</v>
      </c>
      <c r="K1611" s="1">
        <f t="shared" ref="K1611" si="2386">(IF(F1611="SELL",G1611-H1611,IF(F1611="BUY",H1611-G1611)))*E1611</f>
        <v>1374.9999999999995</v>
      </c>
      <c r="L1611" s="51">
        <v>0</v>
      </c>
      <c r="M1611" s="51">
        <v>0</v>
      </c>
      <c r="N1611" s="1">
        <f t="shared" si="2349"/>
        <v>0.54999999999999982</v>
      </c>
      <c r="O1611" s="1">
        <f t="shared" si="2355"/>
        <v>1374.9999999999995</v>
      </c>
      <c r="P1611" s="31"/>
      <c r="Q1611" s="31"/>
      <c r="R1611" s="31"/>
      <c r="S1611" s="31"/>
      <c r="T1611" s="31"/>
      <c r="U1611" s="31"/>
      <c r="V1611" s="31"/>
      <c r="W1611" s="31"/>
      <c r="X1611" s="31"/>
      <c r="Y1611" s="31"/>
      <c r="Z1611" s="31"/>
      <c r="AA1611" s="31"/>
      <c r="AB1611" s="31"/>
      <c r="AC1611" s="31"/>
      <c r="AD1611" s="31"/>
      <c r="AE1611" s="31"/>
      <c r="AF1611" s="31"/>
      <c r="AG1611" s="31"/>
    </row>
    <row r="1612" spans="1:33" s="32" customFormat="1" ht="15" customHeight="1">
      <c r="A1612" s="27">
        <v>43453</v>
      </c>
      <c r="B1612" s="15" t="s">
        <v>393</v>
      </c>
      <c r="C1612" s="15" t="s">
        <v>47</v>
      </c>
      <c r="D1612" s="15">
        <v>1560</v>
      </c>
      <c r="E1612" s="28">
        <v>400</v>
      </c>
      <c r="F1612" s="15" t="s">
        <v>8</v>
      </c>
      <c r="G1612" s="45">
        <v>22</v>
      </c>
      <c r="H1612" s="15">
        <v>25</v>
      </c>
      <c r="I1612" s="45">
        <v>0</v>
      </c>
      <c r="J1612" s="54">
        <v>0</v>
      </c>
      <c r="K1612" s="1">
        <f t="shared" ref="K1612" si="2387">(IF(F1612="SELL",G1612-H1612,IF(F1612="BUY",H1612-G1612)))*E1612</f>
        <v>1200</v>
      </c>
      <c r="L1612" s="51">
        <v>0</v>
      </c>
      <c r="M1612" s="51">
        <v>0</v>
      </c>
      <c r="N1612" s="1">
        <f t="shared" si="2349"/>
        <v>3</v>
      </c>
      <c r="O1612" s="1">
        <f t="shared" si="2355"/>
        <v>1200</v>
      </c>
      <c r="P1612" s="31"/>
      <c r="Q1612" s="31"/>
      <c r="R1612" s="31"/>
      <c r="S1612" s="31"/>
      <c r="T1612" s="31"/>
      <c r="U1612" s="31"/>
      <c r="V1612" s="31"/>
      <c r="W1612" s="31"/>
      <c r="X1612" s="31"/>
      <c r="Y1612" s="31"/>
      <c r="Z1612" s="31"/>
      <c r="AA1612" s="31"/>
      <c r="AB1612" s="31"/>
      <c r="AC1612" s="31"/>
      <c r="AD1612" s="31"/>
      <c r="AE1612" s="31"/>
      <c r="AF1612" s="31"/>
      <c r="AG1612" s="31"/>
    </row>
    <row r="1613" spans="1:33" s="32" customFormat="1" ht="15" customHeight="1">
      <c r="A1613" s="27">
        <v>43453</v>
      </c>
      <c r="B1613" s="15" t="s">
        <v>392</v>
      </c>
      <c r="C1613" s="15" t="s">
        <v>47</v>
      </c>
      <c r="D1613" s="15">
        <v>230</v>
      </c>
      <c r="E1613" s="28">
        <v>2500</v>
      </c>
      <c r="F1613" s="15" t="s">
        <v>8</v>
      </c>
      <c r="G1613" s="45">
        <v>3.5</v>
      </c>
      <c r="H1613" s="15">
        <v>4</v>
      </c>
      <c r="I1613" s="45">
        <v>0</v>
      </c>
      <c r="J1613" s="54">
        <v>0</v>
      </c>
      <c r="K1613" s="1">
        <f t="shared" ref="K1613" si="2388">(IF(F1613="SELL",G1613-H1613,IF(F1613="BUY",H1613-G1613)))*E1613</f>
        <v>1250</v>
      </c>
      <c r="L1613" s="51">
        <v>0</v>
      </c>
      <c r="M1613" s="51">
        <v>0</v>
      </c>
      <c r="N1613" s="1">
        <f t="shared" si="2349"/>
        <v>0.5</v>
      </c>
      <c r="O1613" s="1">
        <f t="shared" si="2355"/>
        <v>1250</v>
      </c>
      <c r="P1613" s="31"/>
      <c r="Q1613" s="31"/>
      <c r="R1613" s="31"/>
      <c r="S1613" s="31"/>
      <c r="T1613" s="31"/>
      <c r="U1613" s="31"/>
      <c r="V1613" s="31"/>
      <c r="W1613" s="31"/>
      <c r="X1613" s="31"/>
      <c r="Y1613" s="31"/>
      <c r="Z1613" s="31"/>
      <c r="AA1613" s="31"/>
      <c r="AB1613" s="31"/>
      <c r="AC1613" s="31"/>
      <c r="AD1613" s="31"/>
      <c r="AE1613" s="31"/>
      <c r="AF1613" s="31"/>
      <c r="AG1613" s="31"/>
    </row>
    <row r="1614" spans="1:33" s="32" customFormat="1" ht="15" customHeight="1">
      <c r="A1614" s="27">
        <v>43452</v>
      </c>
      <c r="B1614" s="15" t="s">
        <v>391</v>
      </c>
      <c r="C1614" s="15" t="s">
        <v>47</v>
      </c>
      <c r="D1614" s="15">
        <v>440</v>
      </c>
      <c r="E1614" s="28">
        <v>1100</v>
      </c>
      <c r="F1614" s="15" t="s">
        <v>8</v>
      </c>
      <c r="G1614" s="45">
        <v>7.6</v>
      </c>
      <c r="H1614" s="15">
        <v>8.85</v>
      </c>
      <c r="I1614" s="45">
        <v>0</v>
      </c>
      <c r="J1614" s="54">
        <v>0</v>
      </c>
      <c r="K1614" s="1">
        <f t="shared" ref="K1614" si="2389">(IF(F1614="SELL",G1614-H1614,IF(F1614="BUY",H1614-G1614)))*E1614</f>
        <v>1375</v>
      </c>
      <c r="L1614" s="51">
        <v>0</v>
      </c>
      <c r="M1614" s="51">
        <v>0</v>
      </c>
      <c r="N1614" s="1">
        <f t="shared" si="2349"/>
        <v>1.25</v>
      </c>
      <c r="O1614" s="1">
        <f t="shared" si="2355"/>
        <v>1375</v>
      </c>
      <c r="P1614" s="31"/>
      <c r="Q1614" s="31"/>
      <c r="R1614" s="31"/>
      <c r="S1614" s="31"/>
      <c r="T1614" s="31"/>
      <c r="U1614" s="31"/>
      <c r="V1614" s="31"/>
      <c r="W1614" s="31"/>
      <c r="X1614" s="31"/>
      <c r="Y1614" s="31"/>
      <c r="Z1614" s="31"/>
      <c r="AA1614" s="31"/>
      <c r="AB1614" s="31"/>
      <c r="AC1614" s="31"/>
      <c r="AD1614" s="31"/>
      <c r="AE1614" s="31"/>
      <c r="AF1614" s="31"/>
      <c r="AG1614" s="31"/>
    </row>
    <row r="1615" spans="1:33" s="32" customFormat="1" ht="15" customHeight="1">
      <c r="A1615" s="27">
        <v>43452</v>
      </c>
      <c r="B1615" s="15" t="s">
        <v>96</v>
      </c>
      <c r="C1615" s="15" t="s">
        <v>47</v>
      </c>
      <c r="D1615" s="15">
        <v>770</v>
      </c>
      <c r="E1615" s="28">
        <v>1000</v>
      </c>
      <c r="F1615" s="15" t="s">
        <v>8</v>
      </c>
      <c r="G1615" s="45">
        <v>13</v>
      </c>
      <c r="H1615" s="15">
        <v>14.35</v>
      </c>
      <c r="I1615" s="45">
        <v>0</v>
      </c>
      <c r="J1615" s="54">
        <v>0</v>
      </c>
      <c r="K1615" s="1">
        <f t="shared" ref="K1615:K1616" si="2390">(IF(F1615="SELL",G1615-H1615,IF(F1615="BUY",H1615-G1615)))*E1615</f>
        <v>1349.9999999999995</v>
      </c>
      <c r="L1615" s="51">
        <v>0</v>
      </c>
      <c r="M1615" s="51">
        <v>0</v>
      </c>
      <c r="N1615" s="1">
        <f t="shared" si="2349"/>
        <v>1.3499999999999996</v>
      </c>
      <c r="O1615" s="1">
        <f t="shared" si="2355"/>
        <v>1349.9999999999995</v>
      </c>
      <c r="P1615" s="31"/>
      <c r="Q1615" s="31"/>
      <c r="R1615" s="31"/>
      <c r="S1615" s="31"/>
      <c r="T1615" s="31"/>
      <c r="U1615" s="31"/>
      <c r="V1615" s="31"/>
      <c r="W1615" s="31"/>
      <c r="X1615" s="31"/>
      <c r="Y1615" s="31"/>
      <c r="Z1615" s="31"/>
      <c r="AA1615" s="31"/>
      <c r="AB1615" s="31"/>
      <c r="AC1615" s="31"/>
      <c r="AD1615" s="31"/>
      <c r="AE1615" s="31"/>
      <c r="AF1615" s="31"/>
      <c r="AG1615" s="31"/>
    </row>
    <row r="1616" spans="1:33" s="32" customFormat="1" ht="15" customHeight="1">
      <c r="A1616" s="27">
        <v>43451</v>
      </c>
      <c r="B1616" s="15" t="s">
        <v>390</v>
      </c>
      <c r="C1616" s="15" t="s">
        <v>47</v>
      </c>
      <c r="D1616" s="15">
        <v>840</v>
      </c>
      <c r="E1616" s="28">
        <v>700</v>
      </c>
      <c r="F1616" s="15" t="s">
        <v>8</v>
      </c>
      <c r="G1616" s="45">
        <v>16.5</v>
      </c>
      <c r="H1616" s="15">
        <v>19</v>
      </c>
      <c r="I1616" s="45">
        <v>23</v>
      </c>
      <c r="J1616" s="54">
        <v>0</v>
      </c>
      <c r="K1616" s="1">
        <f t="shared" si="2390"/>
        <v>1750</v>
      </c>
      <c r="L1616" s="51">
        <f>(IF(F1616="SELL",IF(I1616="",0,H1616-I1616),IF(F1616="BUY",IF(I1616="",0,I1616-H1616))))*E1616</f>
        <v>2800</v>
      </c>
      <c r="M1616" s="51">
        <v>0</v>
      </c>
      <c r="N1616" s="1">
        <f t="shared" si="2349"/>
        <v>6.5</v>
      </c>
      <c r="O1616" s="1">
        <f t="shared" si="2355"/>
        <v>4550</v>
      </c>
      <c r="P1616" s="31"/>
      <c r="Q1616" s="31"/>
      <c r="R1616" s="31"/>
      <c r="S1616" s="31"/>
      <c r="T1616" s="31"/>
      <c r="U1616" s="31"/>
      <c r="V1616" s="31"/>
      <c r="W1616" s="31"/>
      <c r="X1616" s="31"/>
      <c r="Y1616" s="31"/>
      <c r="Z1616" s="31"/>
      <c r="AA1616" s="31"/>
      <c r="AB1616" s="31"/>
      <c r="AC1616" s="31"/>
      <c r="AD1616" s="31"/>
      <c r="AE1616" s="31"/>
      <c r="AF1616" s="31"/>
      <c r="AG1616" s="31"/>
    </row>
    <row r="1617" spans="1:33" s="32" customFormat="1" ht="15" customHeight="1">
      <c r="A1617" s="27">
        <v>43451</v>
      </c>
      <c r="B1617" s="15" t="s">
        <v>390</v>
      </c>
      <c r="C1617" s="15" t="s">
        <v>47</v>
      </c>
      <c r="D1617" s="15">
        <v>840</v>
      </c>
      <c r="E1617" s="28">
        <v>700</v>
      </c>
      <c r="F1617" s="15" t="s">
        <v>8</v>
      </c>
      <c r="G1617" s="45">
        <v>12</v>
      </c>
      <c r="H1617" s="15">
        <v>15</v>
      </c>
      <c r="I1617" s="45">
        <v>0</v>
      </c>
      <c r="J1617" s="54">
        <v>0</v>
      </c>
      <c r="K1617" s="1">
        <f t="shared" ref="K1617" si="2391">(IF(F1617="SELL",G1617-H1617,IF(F1617="BUY",H1617-G1617)))*E1617</f>
        <v>2100</v>
      </c>
      <c r="L1617" s="51">
        <v>0</v>
      </c>
      <c r="M1617" s="51">
        <v>0</v>
      </c>
      <c r="N1617" s="1">
        <f t="shared" si="2349"/>
        <v>3</v>
      </c>
      <c r="O1617" s="1">
        <f t="shared" si="2355"/>
        <v>2100</v>
      </c>
      <c r="P1617" s="31"/>
      <c r="Q1617" s="31"/>
      <c r="R1617" s="31"/>
      <c r="S1617" s="31"/>
      <c r="T1617" s="31"/>
      <c r="U1617" s="31"/>
      <c r="V1617" s="31"/>
      <c r="W1617" s="31"/>
      <c r="X1617" s="31"/>
      <c r="Y1617" s="31"/>
      <c r="Z1617" s="31"/>
      <c r="AA1617" s="31"/>
      <c r="AB1617" s="31"/>
      <c r="AC1617" s="31"/>
      <c r="AD1617" s="31"/>
      <c r="AE1617" s="31"/>
      <c r="AF1617" s="31"/>
      <c r="AG1617" s="31"/>
    </row>
    <row r="1618" spans="1:33" s="32" customFormat="1" ht="15" customHeight="1">
      <c r="A1618" s="27">
        <v>43451</v>
      </c>
      <c r="B1618" s="15" t="s">
        <v>389</v>
      </c>
      <c r="C1618" s="15" t="s">
        <v>47</v>
      </c>
      <c r="D1618" s="15">
        <v>150</v>
      </c>
      <c r="E1618" s="28">
        <v>3750</v>
      </c>
      <c r="F1618" s="15" t="s">
        <v>8</v>
      </c>
      <c r="G1618" s="45">
        <v>2.6</v>
      </c>
      <c r="H1618" s="15">
        <v>3.1</v>
      </c>
      <c r="I1618" s="45">
        <v>0</v>
      </c>
      <c r="J1618" s="54">
        <v>0</v>
      </c>
      <c r="K1618" s="1">
        <f t="shared" ref="K1618" si="2392">(IF(F1618="SELL",G1618-H1618,IF(F1618="BUY",H1618-G1618)))*E1618</f>
        <v>1875</v>
      </c>
      <c r="L1618" s="51">
        <v>0</v>
      </c>
      <c r="M1618" s="51">
        <v>0</v>
      </c>
      <c r="N1618" s="1">
        <f t="shared" si="2349"/>
        <v>0.5</v>
      </c>
      <c r="O1618" s="1">
        <f t="shared" si="2355"/>
        <v>1875</v>
      </c>
      <c r="P1618" s="31"/>
      <c r="Q1618" s="31"/>
      <c r="R1618" s="31"/>
      <c r="S1618" s="31"/>
      <c r="T1618" s="31"/>
      <c r="U1618" s="31"/>
      <c r="V1618" s="31"/>
      <c r="W1618" s="31"/>
      <c r="X1618" s="31"/>
      <c r="Y1618" s="31"/>
      <c r="Z1618" s="31"/>
      <c r="AA1618" s="31"/>
      <c r="AB1618" s="31"/>
      <c r="AC1618" s="31"/>
      <c r="AD1618" s="31"/>
      <c r="AE1618" s="31"/>
      <c r="AF1618" s="31"/>
      <c r="AG1618" s="31"/>
    </row>
    <row r="1619" spans="1:33" s="32" customFormat="1" ht="15" customHeight="1">
      <c r="A1619" s="27">
        <v>43448</v>
      </c>
      <c r="B1619" s="15" t="s">
        <v>388</v>
      </c>
      <c r="C1619" s="15" t="s">
        <v>47</v>
      </c>
      <c r="D1619" s="15">
        <v>320</v>
      </c>
      <c r="E1619" s="28">
        <v>1700</v>
      </c>
      <c r="F1619" s="15" t="s">
        <v>8</v>
      </c>
      <c r="G1619" s="45">
        <v>11</v>
      </c>
      <c r="H1619" s="15">
        <v>12</v>
      </c>
      <c r="I1619" s="45">
        <v>0</v>
      </c>
      <c r="J1619" s="54">
        <v>0</v>
      </c>
      <c r="K1619" s="1">
        <f t="shared" ref="K1619" si="2393">(IF(F1619="SELL",G1619-H1619,IF(F1619="BUY",H1619-G1619)))*E1619</f>
        <v>1700</v>
      </c>
      <c r="L1619" s="51">
        <v>0</v>
      </c>
      <c r="M1619" s="51">
        <v>0</v>
      </c>
      <c r="N1619" s="1">
        <f t="shared" si="2349"/>
        <v>1</v>
      </c>
      <c r="O1619" s="1">
        <f t="shared" si="2355"/>
        <v>1700</v>
      </c>
      <c r="P1619" s="31"/>
      <c r="Q1619" s="31"/>
      <c r="R1619" s="31"/>
      <c r="S1619" s="31"/>
      <c r="T1619" s="31"/>
      <c r="U1619" s="31"/>
      <c r="V1619" s="31"/>
      <c r="W1619" s="31"/>
      <c r="X1619" s="31"/>
      <c r="Y1619" s="31"/>
      <c r="Z1619" s="31"/>
      <c r="AA1619" s="31"/>
      <c r="AB1619" s="31"/>
      <c r="AC1619" s="31"/>
      <c r="AD1619" s="31"/>
      <c r="AE1619" s="31"/>
      <c r="AF1619" s="31"/>
      <c r="AG1619" s="31"/>
    </row>
    <row r="1620" spans="1:33" s="32" customFormat="1" ht="15" customHeight="1">
      <c r="A1620" s="27">
        <v>43448</v>
      </c>
      <c r="B1620" s="15" t="s">
        <v>387</v>
      </c>
      <c r="C1620" s="15" t="s">
        <v>47</v>
      </c>
      <c r="D1620" s="15">
        <v>2250</v>
      </c>
      <c r="E1620" s="28">
        <v>500</v>
      </c>
      <c r="F1620" s="15" t="s">
        <v>8</v>
      </c>
      <c r="G1620" s="45">
        <v>40.299999999999997</v>
      </c>
      <c r="H1620" s="15">
        <v>44</v>
      </c>
      <c r="I1620" s="45">
        <v>49</v>
      </c>
      <c r="J1620" s="54">
        <v>0</v>
      </c>
      <c r="K1620" s="1">
        <f t="shared" ref="K1620" si="2394">(IF(F1620="SELL",G1620-H1620,IF(F1620="BUY",H1620-G1620)))*E1620</f>
        <v>1850.0000000000014</v>
      </c>
      <c r="L1620" s="51">
        <f>(IF(F1620="SELL",IF(I1620="",0,H1620-I1620),IF(F1620="BUY",IF(I1620="",0,I1620-H1620))))*E1620</f>
        <v>2500</v>
      </c>
      <c r="M1620" s="51">
        <v>0</v>
      </c>
      <c r="N1620" s="1">
        <f t="shared" si="2349"/>
        <v>8.7000000000000028</v>
      </c>
      <c r="O1620" s="1">
        <f t="shared" si="2355"/>
        <v>4350.0000000000018</v>
      </c>
      <c r="P1620" s="31"/>
      <c r="Q1620" s="31"/>
      <c r="R1620" s="31"/>
      <c r="S1620" s="31"/>
      <c r="T1620" s="31"/>
      <c r="U1620" s="31"/>
      <c r="V1620" s="31"/>
      <c r="W1620" s="31"/>
      <c r="X1620" s="31"/>
      <c r="Y1620" s="31"/>
      <c r="Z1620" s="31"/>
      <c r="AA1620" s="31"/>
      <c r="AB1620" s="31"/>
      <c r="AC1620" s="31"/>
      <c r="AD1620" s="31"/>
      <c r="AE1620" s="31"/>
      <c r="AF1620" s="31"/>
      <c r="AG1620" s="31"/>
    </row>
    <row r="1621" spans="1:33" s="32" customFormat="1" ht="15" customHeight="1">
      <c r="A1621" s="27">
        <v>43447</v>
      </c>
      <c r="B1621" s="15" t="s">
        <v>386</v>
      </c>
      <c r="C1621" s="15" t="s">
        <v>47</v>
      </c>
      <c r="D1621" s="15">
        <v>960</v>
      </c>
      <c r="E1621" s="28">
        <v>750</v>
      </c>
      <c r="F1621" s="15" t="s">
        <v>8</v>
      </c>
      <c r="G1621" s="45">
        <v>17.350000000000001</v>
      </c>
      <c r="H1621" s="15">
        <v>19.350000000000001</v>
      </c>
      <c r="I1621" s="45">
        <v>23</v>
      </c>
      <c r="J1621" s="54">
        <v>27</v>
      </c>
      <c r="K1621" s="1">
        <f t="shared" ref="K1621" si="2395">(IF(F1621="SELL",G1621-H1621,IF(F1621="BUY",H1621-G1621)))*E1621</f>
        <v>1500</v>
      </c>
      <c r="L1621" s="51">
        <f>(IF(F1621="SELL",IF(I1621="",0,H1621-I1621),IF(F1621="BUY",IF(I1621="",0,I1621-H1621))))*E1621</f>
        <v>2737.4999999999991</v>
      </c>
      <c r="M1621" s="51">
        <v>3000</v>
      </c>
      <c r="N1621" s="1">
        <f t="shared" ref="N1621:N1684" si="2396">(L1621+K1621+M1621)/E1621</f>
        <v>9.6499999999999986</v>
      </c>
      <c r="O1621" s="1">
        <f t="shared" si="2355"/>
        <v>7237.4999999999991</v>
      </c>
      <c r="P1621" s="31"/>
      <c r="Q1621" s="31"/>
      <c r="R1621" s="31"/>
      <c r="S1621" s="31"/>
      <c r="T1621" s="31"/>
      <c r="U1621" s="31"/>
      <c r="V1621" s="31"/>
      <c r="W1621" s="31"/>
      <c r="X1621" s="31"/>
      <c r="Y1621" s="31"/>
      <c r="Z1621" s="31"/>
      <c r="AA1621" s="31"/>
      <c r="AB1621" s="31"/>
      <c r="AC1621" s="31"/>
      <c r="AD1621" s="31"/>
      <c r="AE1621" s="31"/>
      <c r="AF1621" s="31"/>
      <c r="AG1621" s="31"/>
    </row>
    <row r="1622" spans="1:33" s="32" customFormat="1" ht="15" customHeight="1">
      <c r="A1622" s="27">
        <v>43447</v>
      </c>
      <c r="B1622" s="15" t="s">
        <v>385</v>
      </c>
      <c r="C1622" s="15" t="s">
        <v>47</v>
      </c>
      <c r="D1622" s="15">
        <v>900</v>
      </c>
      <c r="E1622" s="28">
        <v>600</v>
      </c>
      <c r="F1622" s="15" t="s">
        <v>8</v>
      </c>
      <c r="G1622" s="45">
        <v>15</v>
      </c>
      <c r="H1622" s="15">
        <v>16.8</v>
      </c>
      <c r="I1622" s="45">
        <v>0</v>
      </c>
      <c r="J1622" s="54">
        <v>0</v>
      </c>
      <c r="K1622" s="1">
        <f t="shared" ref="K1622:K1623" si="2397">(IF(F1622="SELL",G1622-H1622,IF(F1622="BUY",H1622-G1622)))*E1622</f>
        <v>1080.0000000000005</v>
      </c>
      <c r="L1622" s="51">
        <v>0</v>
      </c>
      <c r="M1622" s="51">
        <v>0</v>
      </c>
      <c r="N1622" s="1">
        <f t="shared" si="2396"/>
        <v>1.8000000000000007</v>
      </c>
      <c r="O1622" s="1">
        <f t="shared" si="2355"/>
        <v>1080.0000000000005</v>
      </c>
      <c r="P1622" s="31"/>
      <c r="Q1622" s="31"/>
      <c r="R1622" s="31"/>
      <c r="S1622" s="31"/>
      <c r="T1622" s="31"/>
      <c r="U1622" s="31"/>
      <c r="V1622" s="31"/>
      <c r="W1622" s="31"/>
      <c r="X1622" s="31"/>
      <c r="Y1622" s="31"/>
      <c r="Z1622" s="31"/>
      <c r="AA1622" s="31"/>
      <c r="AB1622" s="31"/>
      <c r="AC1622" s="31"/>
      <c r="AD1622" s="31"/>
      <c r="AE1622" s="31"/>
      <c r="AF1622" s="31"/>
      <c r="AG1622" s="31"/>
    </row>
    <row r="1623" spans="1:33" s="32" customFormat="1" ht="15" customHeight="1">
      <c r="A1623" s="27">
        <v>43446</v>
      </c>
      <c r="B1623" s="15" t="s">
        <v>384</v>
      </c>
      <c r="C1623" s="15" t="s">
        <v>47</v>
      </c>
      <c r="D1623" s="15">
        <v>225</v>
      </c>
      <c r="E1623" s="28">
        <v>3500</v>
      </c>
      <c r="F1623" s="15" t="s">
        <v>8</v>
      </c>
      <c r="G1623" s="45">
        <v>5.5</v>
      </c>
      <c r="H1623" s="15">
        <v>5.8</v>
      </c>
      <c r="I1623" s="45">
        <v>0</v>
      </c>
      <c r="J1623" s="54">
        <v>0</v>
      </c>
      <c r="K1623" s="1">
        <f t="shared" si="2397"/>
        <v>1049.9999999999993</v>
      </c>
      <c r="L1623" s="51">
        <v>0</v>
      </c>
      <c r="M1623" s="51">
        <v>0</v>
      </c>
      <c r="N1623" s="1">
        <f t="shared" si="2396"/>
        <v>0.29999999999999982</v>
      </c>
      <c r="O1623" s="1">
        <f t="shared" si="2355"/>
        <v>1049.9999999999993</v>
      </c>
      <c r="P1623" s="31"/>
      <c r="Q1623" s="31"/>
      <c r="R1623" s="31"/>
      <c r="S1623" s="31"/>
      <c r="T1623" s="31"/>
      <c r="U1623" s="31"/>
      <c r="V1623" s="31"/>
      <c r="W1623" s="31"/>
      <c r="X1623" s="31"/>
      <c r="Y1623" s="31"/>
      <c r="Z1623" s="31"/>
      <c r="AA1623" s="31"/>
      <c r="AB1623" s="31"/>
      <c r="AC1623" s="31"/>
      <c r="AD1623" s="31"/>
      <c r="AE1623" s="31"/>
      <c r="AF1623" s="31"/>
      <c r="AG1623" s="31"/>
    </row>
    <row r="1624" spans="1:33" s="32" customFormat="1" ht="15" customHeight="1">
      <c r="A1624" s="27">
        <v>43445</v>
      </c>
      <c r="B1624" s="15" t="s">
        <v>383</v>
      </c>
      <c r="C1624" s="15" t="s">
        <v>46</v>
      </c>
      <c r="D1624" s="15">
        <v>245</v>
      </c>
      <c r="E1624" s="28">
        <v>2000</v>
      </c>
      <c r="F1624" s="15" t="s">
        <v>8</v>
      </c>
      <c r="G1624" s="45">
        <v>10</v>
      </c>
      <c r="H1624" s="15">
        <v>8</v>
      </c>
      <c r="I1624" s="45">
        <v>0</v>
      </c>
      <c r="J1624" s="54">
        <v>0</v>
      </c>
      <c r="K1624" s="1">
        <f t="shared" ref="K1624" si="2398">(IF(F1624="SELL",G1624-H1624,IF(F1624="BUY",H1624-G1624)))*E1624</f>
        <v>-4000</v>
      </c>
      <c r="L1624" s="51">
        <v>0</v>
      </c>
      <c r="M1624" s="51">
        <v>0</v>
      </c>
      <c r="N1624" s="1">
        <f t="shared" si="2396"/>
        <v>-2</v>
      </c>
      <c r="O1624" s="1">
        <f t="shared" si="2355"/>
        <v>-4000</v>
      </c>
      <c r="P1624" s="31"/>
      <c r="Q1624" s="31"/>
      <c r="R1624" s="31"/>
      <c r="S1624" s="31"/>
      <c r="T1624" s="31"/>
      <c r="U1624" s="31"/>
      <c r="V1624" s="31"/>
      <c r="W1624" s="31"/>
      <c r="X1624" s="31"/>
      <c r="Y1624" s="31"/>
      <c r="Z1624" s="31"/>
      <c r="AA1624" s="31"/>
      <c r="AB1624" s="31"/>
      <c r="AC1624" s="31"/>
      <c r="AD1624" s="31"/>
      <c r="AE1624" s="31"/>
      <c r="AF1624" s="31"/>
      <c r="AG1624" s="31"/>
    </row>
    <row r="1625" spans="1:33" s="32" customFormat="1" ht="15" customHeight="1">
      <c r="A1625" s="27">
        <v>43444</v>
      </c>
      <c r="B1625" s="15" t="s">
        <v>382</v>
      </c>
      <c r="C1625" s="15" t="s">
        <v>47</v>
      </c>
      <c r="D1625" s="15">
        <v>620</v>
      </c>
      <c r="E1625" s="28">
        <v>1100</v>
      </c>
      <c r="F1625" s="15" t="s">
        <v>8</v>
      </c>
      <c r="G1625" s="45">
        <v>24.55</v>
      </c>
      <c r="H1625" s="15">
        <v>20</v>
      </c>
      <c r="I1625" s="45">
        <v>0</v>
      </c>
      <c r="J1625" s="54">
        <v>0</v>
      </c>
      <c r="K1625" s="1">
        <f t="shared" ref="K1625" si="2399">(IF(F1625="SELL",G1625-H1625,IF(F1625="BUY",H1625-G1625)))*E1625</f>
        <v>-5005.0000000000009</v>
      </c>
      <c r="L1625" s="51">
        <v>0</v>
      </c>
      <c r="M1625" s="51">
        <v>0</v>
      </c>
      <c r="N1625" s="1">
        <f t="shared" si="2396"/>
        <v>-4.5500000000000007</v>
      </c>
      <c r="O1625" s="1">
        <f t="shared" si="2355"/>
        <v>-5005.0000000000009</v>
      </c>
      <c r="P1625" s="31"/>
      <c r="Q1625" s="31"/>
      <c r="R1625" s="31"/>
      <c r="S1625" s="31"/>
      <c r="T1625" s="31"/>
      <c r="U1625" s="31"/>
      <c r="V1625" s="31"/>
      <c r="W1625" s="31"/>
      <c r="X1625" s="31"/>
      <c r="Y1625" s="31"/>
      <c r="Z1625" s="31"/>
      <c r="AA1625" s="31"/>
      <c r="AB1625" s="31"/>
      <c r="AC1625" s="31"/>
      <c r="AD1625" s="31"/>
      <c r="AE1625" s="31"/>
      <c r="AF1625" s="31"/>
      <c r="AG1625" s="31"/>
    </row>
    <row r="1626" spans="1:33" s="32" customFormat="1" ht="15" customHeight="1">
      <c r="A1626" s="27">
        <v>43441</v>
      </c>
      <c r="B1626" s="15" t="s">
        <v>381</v>
      </c>
      <c r="C1626" s="15" t="s">
        <v>47</v>
      </c>
      <c r="D1626" s="15">
        <v>1100</v>
      </c>
      <c r="E1626" s="28">
        <v>600</v>
      </c>
      <c r="F1626" s="15" t="s">
        <v>8</v>
      </c>
      <c r="G1626" s="45">
        <v>45</v>
      </c>
      <c r="H1626" s="15">
        <v>48</v>
      </c>
      <c r="I1626" s="45">
        <v>0</v>
      </c>
      <c r="J1626" s="54">
        <v>0</v>
      </c>
      <c r="K1626" s="1">
        <f t="shared" ref="K1626" si="2400">(IF(F1626="SELL",G1626-H1626,IF(F1626="BUY",H1626-G1626)))*E1626</f>
        <v>1800</v>
      </c>
      <c r="L1626" s="51">
        <v>0</v>
      </c>
      <c r="M1626" s="51">
        <v>0</v>
      </c>
      <c r="N1626" s="1">
        <f t="shared" si="2396"/>
        <v>3</v>
      </c>
      <c r="O1626" s="1">
        <f t="shared" si="2355"/>
        <v>1800</v>
      </c>
      <c r="P1626" s="31"/>
      <c r="Q1626" s="31"/>
      <c r="R1626" s="31"/>
      <c r="S1626" s="31"/>
      <c r="T1626" s="31"/>
      <c r="U1626" s="31"/>
      <c r="V1626" s="31"/>
      <c r="W1626" s="31"/>
      <c r="X1626" s="31"/>
      <c r="Y1626" s="31"/>
      <c r="Z1626" s="31"/>
      <c r="AA1626" s="31"/>
      <c r="AB1626" s="31"/>
      <c r="AC1626" s="31"/>
      <c r="AD1626" s="31"/>
      <c r="AE1626" s="31"/>
      <c r="AF1626" s="31"/>
      <c r="AG1626" s="31"/>
    </row>
    <row r="1627" spans="1:33" s="32" customFormat="1" ht="15" customHeight="1">
      <c r="A1627" s="27">
        <v>43441</v>
      </c>
      <c r="B1627" s="15" t="s">
        <v>380</v>
      </c>
      <c r="C1627" s="15" t="s">
        <v>47</v>
      </c>
      <c r="D1627" s="15">
        <v>81</v>
      </c>
      <c r="E1627" s="28">
        <v>9000</v>
      </c>
      <c r="F1627" s="15" t="s">
        <v>8</v>
      </c>
      <c r="G1627" s="45">
        <v>3</v>
      </c>
      <c r="H1627" s="15">
        <v>2.4</v>
      </c>
      <c r="I1627" s="45">
        <v>0</v>
      </c>
      <c r="J1627" s="54">
        <v>0</v>
      </c>
      <c r="K1627" s="1">
        <f t="shared" ref="K1627" si="2401">(IF(F1627="SELL",G1627-H1627,IF(F1627="BUY",H1627-G1627)))*E1627</f>
        <v>-5400.0000000000009</v>
      </c>
      <c r="L1627" s="51">
        <v>0</v>
      </c>
      <c r="M1627" s="51">
        <v>0</v>
      </c>
      <c r="N1627" s="1">
        <f t="shared" si="2396"/>
        <v>-0.60000000000000009</v>
      </c>
      <c r="O1627" s="1">
        <f t="shared" si="2355"/>
        <v>-5400.0000000000009</v>
      </c>
      <c r="P1627" s="31"/>
      <c r="Q1627" s="31"/>
      <c r="R1627" s="31"/>
      <c r="S1627" s="31"/>
      <c r="T1627" s="31"/>
      <c r="U1627" s="31"/>
      <c r="V1627" s="31"/>
      <c r="W1627" s="31"/>
      <c r="X1627" s="31"/>
      <c r="Y1627" s="31"/>
      <c r="Z1627" s="31"/>
      <c r="AA1627" s="31"/>
      <c r="AB1627" s="31"/>
      <c r="AC1627" s="31"/>
      <c r="AD1627" s="31"/>
      <c r="AE1627" s="31"/>
      <c r="AF1627" s="31"/>
      <c r="AG1627" s="31"/>
    </row>
    <row r="1628" spans="1:33" s="32" customFormat="1" ht="15" customHeight="1">
      <c r="A1628" s="27">
        <v>43440</v>
      </c>
      <c r="B1628" s="15" t="s">
        <v>379</v>
      </c>
      <c r="C1628" s="15" t="s">
        <v>47</v>
      </c>
      <c r="D1628" s="15">
        <v>650</v>
      </c>
      <c r="E1628" s="28">
        <v>1250</v>
      </c>
      <c r="F1628" s="15" t="s">
        <v>8</v>
      </c>
      <c r="G1628" s="45">
        <v>21.6</v>
      </c>
      <c r="H1628" s="15">
        <v>24</v>
      </c>
      <c r="I1628" s="45">
        <v>0</v>
      </c>
      <c r="J1628" s="54">
        <v>0</v>
      </c>
      <c r="K1628" s="1">
        <f t="shared" ref="K1628" si="2402">(IF(F1628="SELL",G1628-H1628,IF(F1628="BUY",H1628-G1628)))*E1628</f>
        <v>2999.9999999999982</v>
      </c>
      <c r="L1628" s="51">
        <v>0</v>
      </c>
      <c r="M1628" s="51">
        <v>0</v>
      </c>
      <c r="N1628" s="1">
        <f t="shared" si="2396"/>
        <v>2.3999999999999986</v>
      </c>
      <c r="O1628" s="1">
        <f t="shared" si="2355"/>
        <v>2999.9999999999982</v>
      </c>
      <c r="P1628" s="31"/>
      <c r="Q1628" s="31"/>
      <c r="R1628" s="31"/>
      <c r="S1628" s="31"/>
      <c r="T1628" s="31"/>
      <c r="U1628" s="31"/>
      <c r="V1628" s="31"/>
      <c r="W1628" s="31"/>
      <c r="X1628" s="31"/>
      <c r="Y1628" s="31"/>
      <c r="Z1628" s="31"/>
      <c r="AA1628" s="31"/>
      <c r="AB1628" s="31"/>
      <c r="AC1628" s="31"/>
      <c r="AD1628" s="31"/>
      <c r="AE1628" s="31"/>
      <c r="AF1628" s="31"/>
      <c r="AG1628" s="31"/>
    </row>
    <row r="1629" spans="1:33" s="32" customFormat="1" ht="15" customHeight="1">
      <c r="A1629" s="27">
        <v>43440</v>
      </c>
      <c r="B1629" s="15" t="s">
        <v>198</v>
      </c>
      <c r="C1629" s="15" t="s">
        <v>46</v>
      </c>
      <c r="D1629" s="15">
        <v>275</v>
      </c>
      <c r="E1629" s="28">
        <v>3000</v>
      </c>
      <c r="F1629" s="15" t="s">
        <v>8</v>
      </c>
      <c r="G1629" s="45">
        <v>8.5</v>
      </c>
      <c r="H1629" s="15">
        <v>9</v>
      </c>
      <c r="I1629" s="45">
        <v>0</v>
      </c>
      <c r="J1629" s="54">
        <v>0</v>
      </c>
      <c r="K1629" s="1">
        <f t="shared" ref="K1629" si="2403">(IF(F1629="SELL",G1629-H1629,IF(F1629="BUY",H1629-G1629)))*E1629</f>
        <v>1500</v>
      </c>
      <c r="L1629" s="51">
        <v>0</v>
      </c>
      <c r="M1629" s="51">
        <v>0</v>
      </c>
      <c r="N1629" s="1">
        <f t="shared" si="2396"/>
        <v>0.5</v>
      </c>
      <c r="O1629" s="1">
        <f t="shared" si="2355"/>
        <v>1500</v>
      </c>
      <c r="P1629" s="31"/>
      <c r="Q1629" s="31"/>
      <c r="R1629" s="31"/>
      <c r="S1629" s="31"/>
      <c r="T1629" s="31"/>
      <c r="U1629" s="31"/>
      <c r="V1629" s="31"/>
      <c r="W1629" s="31"/>
      <c r="X1629" s="31"/>
      <c r="Y1629" s="31"/>
      <c r="Z1629" s="31"/>
      <c r="AA1629" s="31"/>
      <c r="AB1629" s="31"/>
      <c r="AC1629" s="31"/>
      <c r="AD1629" s="31"/>
      <c r="AE1629" s="31"/>
      <c r="AF1629" s="31"/>
      <c r="AG1629" s="31"/>
    </row>
    <row r="1630" spans="1:33" s="32" customFormat="1" ht="15" customHeight="1">
      <c r="A1630" s="27">
        <v>43440</v>
      </c>
      <c r="B1630" s="15" t="s">
        <v>378</v>
      </c>
      <c r="C1630" s="15" t="s">
        <v>47</v>
      </c>
      <c r="D1630" s="15">
        <v>280</v>
      </c>
      <c r="E1630" s="28">
        <v>1200</v>
      </c>
      <c r="F1630" s="15" t="s">
        <v>8</v>
      </c>
      <c r="G1630" s="45">
        <v>25</v>
      </c>
      <c r="H1630" s="15">
        <v>26</v>
      </c>
      <c r="I1630" s="45">
        <v>0</v>
      </c>
      <c r="J1630" s="54">
        <v>0</v>
      </c>
      <c r="K1630" s="1">
        <f t="shared" ref="K1630" si="2404">(IF(F1630="SELL",G1630-H1630,IF(F1630="BUY",H1630-G1630)))*E1630</f>
        <v>1200</v>
      </c>
      <c r="L1630" s="51">
        <v>0</v>
      </c>
      <c r="M1630" s="51">
        <v>0</v>
      </c>
      <c r="N1630" s="1">
        <f t="shared" si="2396"/>
        <v>1</v>
      </c>
      <c r="O1630" s="1">
        <f t="shared" si="2355"/>
        <v>1200</v>
      </c>
      <c r="P1630" s="31"/>
      <c r="Q1630" s="31"/>
      <c r="R1630" s="31"/>
      <c r="S1630" s="31"/>
      <c r="T1630" s="31"/>
      <c r="U1630" s="31"/>
      <c r="V1630" s="31"/>
      <c r="W1630" s="31"/>
      <c r="X1630" s="31"/>
      <c r="Y1630" s="31"/>
      <c r="Z1630" s="31"/>
      <c r="AA1630" s="31"/>
      <c r="AB1630" s="31"/>
      <c r="AC1630" s="31"/>
      <c r="AD1630" s="31"/>
      <c r="AE1630" s="31"/>
      <c r="AF1630" s="31"/>
      <c r="AG1630" s="31"/>
    </row>
    <row r="1631" spans="1:33" s="32" customFormat="1" ht="15" customHeight="1">
      <c r="A1631" s="27">
        <v>43439</v>
      </c>
      <c r="B1631" s="15" t="s">
        <v>116</v>
      </c>
      <c r="C1631" s="15" t="s">
        <v>47</v>
      </c>
      <c r="D1631" s="15">
        <v>171</v>
      </c>
      <c r="E1631" s="28">
        <v>4000</v>
      </c>
      <c r="F1631" s="15" t="s">
        <v>8</v>
      </c>
      <c r="G1631" s="45">
        <v>4.55</v>
      </c>
      <c r="H1631" s="15">
        <v>5</v>
      </c>
      <c r="I1631" s="45">
        <v>0</v>
      </c>
      <c r="J1631" s="54">
        <v>0</v>
      </c>
      <c r="K1631" s="1">
        <f t="shared" ref="K1631" si="2405">(IF(F1631="SELL",G1631-H1631,IF(F1631="BUY",H1631-G1631)))*E1631</f>
        <v>1800.0000000000007</v>
      </c>
      <c r="L1631" s="51">
        <v>0</v>
      </c>
      <c r="M1631" s="51">
        <v>0</v>
      </c>
      <c r="N1631" s="1">
        <f t="shared" si="2396"/>
        <v>0.45000000000000018</v>
      </c>
      <c r="O1631" s="1">
        <f t="shared" si="2355"/>
        <v>1800.0000000000007</v>
      </c>
      <c r="P1631" s="31"/>
      <c r="Q1631" s="31"/>
      <c r="R1631" s="31"/>
      <c r="S1631" s="31"/>
      <c r="T1631" s="31"/>
      <c r="U1631" s="31"/>
      <c r="V1631" s="31"/>
      <c r="W1631" s="31"/>
      <c r="X1631" s="31"/>
      <c r="Y1631" s="31"/>
      <c r="Z1631" s="31"/>
      <c r="AA1631" s="31"/>
      <c r="AB1631" s="31"/>
      <c r="AC1631" s="31"/>
      <c r="AD1631" s="31"/>
      <c r="AE1631" s="31"/>
      <c r="AF1631" s="31"/>
      <c r="AG1631" s="31"/>
    </row>
    <row r="1632" spans="1:33" s="32" customFormat="1" ht="15" customHeight="1">
      <c r="A1632" s="27">
        <v>43439</v>
      </c>
      <c r="B1632" s="15" t="s">
        <v>377</v>
      </c>
      <c r="C1632" s="15" t="s">
        <v>46</v>
      </c>
      <c r="D1632" s="15">
        <v>1200</v>
      </c>
      <c r="E1632" s="28">
        <v>700</v>
      </c>
      <c r="F1632" s="15" t="s">
        <v>8</v>
      </c>
      <c r="G1632" s="45">
        <v>42.05</v>
      </c>
      <c r="H1632" s="15">
        <v>45</v>
      </c>
      <c r="I1632" s="45">
        <v>0</v>
      </c>
      <c r="J1632" s="54">
        <v>0</v>
      </c>
      <c r="K1632" s="1">
        <f t="shared" ref="K1632" si="2406">(IF(F1632="SELL",G1632-H1632,IF(F1632="BUY",H1632-G1632)))*E1632</f>
        <v>2065.0000000000018</v>
      </c>
      <c r="L1632" s="51">
        <v>0</v>
      </c>
      <c r="M1632" s="51">
        <v>0</v>
      </c>
      <c r="N1632" s="1">
        <f t="shared" si="2396"/>
        <v>2.9500000000000024</v>
      </c>
      <c r="O1632" s="1">
        <f t="shared" ref="O1632:O1695" si="2407">N1632*E1632</f>
        <v>2065.0000000000018</v>
      </c>
      <c r="P1632" s="31"/>
      <c r="Q1632" s="31"/>
      <c r="R1632" s="31"/>
      <c r="S1632" s="31"/>
      <c r="T1632" s="31"/>
      <c r="U1632" s="31"/>
      <c r="V1632" s="31"/>
      <c r="W1632" s="31"/>
      <c r="X1632" s="31"/>
      <c r="Y1632" s="31"/>
      <c r="Z1632" s="31"/>
      <c r="AA1632" s="31"/>
      <c r="AB1632" s="31"/>
      <c r="AC1632" s="31"/>
      <c r="AD1632" s="31"/>
      <c r="AE1632" s="31"/>
      <c r="AF1632" s="31"/>
      <c r="AG1632" s="31"/>
    </row>
    <row r="1633" spans="1:33" s="32" customFormat="1" ht="15" customHeight="1">
      <c r="A1633" s="27">
        <v>43438</v>
      </c>
      <c r="B1633" s="15" t="s">
        <v>314</v>
      </c>
      <c r="C1633" s="15" t="s">
        <v>46</v>
      </c>
      <c r="D1633" s="15">
        <v>1920</v>
      </c>
      <c r="E1633" s="28">
        <v>500</v>
      </c>
      <c r="F1633" s="15" t="s">
        <v>8</v>
      </c>
      <c r="G1633" s="45">
        <v>32.049999999999997</v>
      </c>
      <c r="H1633" s="15">
        <v>36</v>
      </c>
      <c r="I1633" s="45">
        <v>42</v>
      </c>
      <c r="J1633" s="54">
        <v>0</v>
      </c>
      <c r="K1633" s="1">
        <f t="shared" ref="K1633" si="2408">(IF(F1633="SELL",G1633-H1633,IF(F1633="BUY",H1633-G1633)))*E1633</f>
        <v>1975.0000000000014</v>
      </c>
      <c r="L1633" s="51">
        <f>(IF(F1633="SELL",IF(I1633="",0,H1633-I1633),IF(F1633="BUY",IF(I1633="",0,I1633-H1633))))*E1633</f>
        <v>3000</v>
      </c>
      <c r="M1633" s="51">
        <v>0</v>
      </c>
      <c r="N1633" s="1">
        <f t="shared" si="2396"/>
        <v>9.9500000000000028</v>
      </c>
      <c r="O1633" s="1">
        <f t="shared" si="2407"/>
        <v>4975.0000000000018</v>
      </c>
      <c r="P1633" s="31"/>
      <c r="Q1633" s="31"/>
      <c r="R1633" s="31"/>
      <c r="S1633" s="31"/>
      <c r="T1633" s="31"/>
      <c r="U1633" s="31"/>
      <c r="V1633" s="31"/>
      <c r="W1633" s="31"/>
      <c r="X1633" s="31"/>
      <c r="Y1633" s="31"/>
      <c r="Z1633" s="31"/>
      <c r="AA1633" s="31"/>
      <c r="AB1633" s="31"/>
      <c r="AC1633" s="31"/>
      <c r="AD1633" s="31"/>
      <c r="AE1633" s="31"/>
      <c r="AF1633" s="31"/>
      <c r="AG1633" s="31"/>
    </row>
    <row r="1634" spans="1:33" s="32" customFormat="1" ht="15" customHeight="1">
      <c r="A1634" s="27">
        <v>43437</v>
      </c>
      <c r="B1634" s="15" t="s">
        <v>376</v>
      </c>
      <c r="C1634" s="15" t="s">
        <v>47</v>
      </c>
      <c r="D1634" s="15">
        <v>160</v>
      </c>
      <c r="E1634" s="28">
        <v>4500</v>
      </c>
      <c r="F1634" s="15" t="s">
        <v>8</v>
      </c>
      <c r="G1634" s="45">
        <v>6.65</v>
      </c>
      <c r="H1634" s="15">
        <v>7</v>
      </c>
      <c r="I1634" s="45">
        <v>7.5</v>
      </c>
      <c r="J1634" s="54">
        <v>0</v>
      </c>
      <c r="K1634" s="1">
        <f t="shared" ref="K1634" si="2409">(IF(F1634="SELL",G1634-H1634,IF(F1634="BUY",H1634-G1634)))*E1634</f>
        <v>1574.9999999999984</v>
      </c>
      <c r="L1634" s="51">
        <f>(IF(F1634="SELL",IF(I1634="",0,H1634-I1634),IF(F1634="BUY",IF(I1634="",0,I1634-H1634))))*E1634</f>
        <v>2250</v>
      </c>
      <c r="M1634" s="51">
        <v>0</v>
      </c>
      <c r="N1634" s="1">
        <f t="shared" si="2396"/>
        <v>0.84999999999999964</v>
      </c>
      <c r="O1634" s="1">
        <f t="shared" si="2407"/>
        <v>3824.9999999999982</v>
      </c>
      <c r="P1634" s="31"/>
      <c r="Q1634" s="31"/>
      <c r="R1634" s="31"/>
      <c r="S1634" s="31"/>
      <c r="T1634" s="31"/>
      <c r="U1634" s="31"/>
      <c r="V1634" s="31"/>
      <c r="W1634" s="31"/>
      <c r="X1634" s="31"/>
      <c r="Y1634" s="31"/>
      <c r="Z1634" s="31"/>
      <c r="AA1634" s="31"/>
      <c r="AB1634" s="31"/>
      <c r="AC1634" s="31"/>
      <c r="AD1634" s="31"/>
      <c r="AE1634" s="31"/>
      <c r="AF1634" s="31"/>
      <c r="AG1634" s="31"/>
    </row>
    <row r="1635" spans="1:33" s="32" customFormat="1" ht="15" customHeight="1">
      <c r="A1635" s="27">
        <v>43437</v>
      </c>
      <c r="B1635" s="15" t="s">
        <v>198</v>
      </c>
      <c r="C1635" s="15" t="s">
        <v>47</v>
      </c>
      <c r="D1635" s="15">
        <v>290</v>
      </c>
      <c r="E1635" s="28">
        <v>3000</v>
      </c>
      <c r="F1635" s="15" t="s">
        <v>8</v>
      </c>
      <c r="G1635" s="45">
        <v>8.6</v>
      </c>
      <c r="H1635" s="15">
        <v>9</v>
      </c>
      <c r="I1635" s="45">
        <v>9.5</v>
      </c>
      <c r="J1635" s="54">
        <v>0</v>
      </c>
      <c r="K1635" s="1">
        <f t="shared" ref="K1635" si="2410">(IF(F1635="SELL",G1635-H1635,IF(F1635="BUY",H1635-G1635)))*E1635</f>
        <v>1200.0000000000011</v>
      </c>
      <c r="L1635" s="51">
        <f>(IF(F1635="SELL",IF(I1635="",0,H1635-I1635),IF(F1635="BUY",IF(I1635="",0,I1635-H1635))))*E1635</f>
        <v>1500</v>
      </c>
      <c r="M1635" s="51">
        <v>0</v>
      </c>
      <c r="N1635" s="1">
        <f t="shared" si="2396"/>
        <v>0.90000000000000036</v>
      </c>
      <c r="O1635" s="1">
        <f t="shared" si="2407"/>
        <v>2700.0000000000009</v>
      </c>
      <c r="P1635" s="31"/>
      <c r="Q1635" s="31"/>
      <c r="R1635" s="31"/>
      <c r="S1635" s="31"/>
      <c r="T1635" s="31"/>
      <c r="U1635" s="31"/>
      <c r="V1635" s="31"/>
      <c r="W1635" s="31"/>
      <c r="X1635" s="31"/>
      <c r="Y1635" s="31"/>
      <c r="Z1635" s="31"/>
      <c r="AA1635" s="31"/>
      <c r="AB1635" s="31"/>
      <c r="AC1635" s="31"/>
      <c r="AD1635" s="31"/>
      <c r="AE1635" s="31"/>
      <c r="AF1635" s="31"/>
      <c r="AG1635" s="31"/>
    </row>
    <row r="1636" spans="1:33" s="32" customFormat="1" ht="15" customHeight="1">
      <c r="A1636" s="27">
        <v>43437</v>
      </c>
      <c r="B1636" s="15" t="s">
        <v>375</v>
      </c>
      <c r="C1636" s="15" t="s">
        <v>47</v>
      </c>
      <c r="D1636" s="15">
        <v>70</v>
      </c>
      <c r="E1636" s="28">
        <v>5500</v>
      </c>
      <c r="F1636" s="15" t="s">
        <v>8</v>
      </c>
      <c r="G1636" s="45">
        <v>4.25</v>
      </c>
      <c r="H1636" s="15">
        <v>4.7</v>
      </c>
      <c r="I1636" s="45">
        <v>0</v>
      </c>
      <c r="J1636" s="54">
        <v>0</v>
      </c>
      <c r="K1636" s="1">
        <f t="shared" ref="K1636" si="2411">(IF(F1636="SELL",G1636-H1636,IF(F1636="BUY",H1636-G1636)))*E1636</f>
        <v>2475.0000000000009</v>
      </c>
      <c r="L1636" s="51">
        <v>0</v>
      </c>
      <c r="M1636" s="51">
        <v>0</v>
      </c>
      <c r="N1636" s="1">
        <f t="shared" si="2396"/>
        <v>0.45000000000000018</v>
      </c>
      <c r="O1636" s="1">
        <f t="shared" si="2407"/>
        <v>2475.0000000000009</v>
      </c>
      <c r="P1636" s="31"/>
      <c r="Q1636" s="31"/>
      <c r="R1636" s="31"/>
      <c r="S1636" s="31"/>
      <c r="T1636" s="31"/>
      <c r="U1636" s="31"/>
      <c r="V1636" s="31"/>
      <c r="W1636" s="31"/>
      <c r="X1636" s="31"/>
      <c r="Y1636" s="31"/>
      <c r="Z1636" s="31"/>
      <c r="AA1636" s="31"/>
      <c r="AB1636" s="31"/>
      <c r="AC1636" s="31"/>
      <c r="AD1636" s="31"/>
      <c r="AE1636" s="31"/>
      <c r="AF1636" s="31"/>
      <c r="AG1636" s="31"/>
    </row>
    <row r="1637" spans="1:33" s="32" customFormat="1" ht="15" customHeight="1">
      <c r="A1637" s="27">
        <v>43437</v>
      </c>
      <c r="B1637" s="15" t="s">
        <v>208</v>
      </c>
      <c r="C1637" s="15" t="s">
        <v>47</v>
      </c>
      <c r="D1637" s="15">
        <v>1460</v>
      </c>
      <c r="E1637" s="28">
        <v>400</v>
      </c>
      <c r="F1637" s="15" t="s">
        <v>8</v>
      </c>
      <c r="G1637" s="45">
        <v>51</v>
      </c>
      <c r="H1637" s="15">
        <v>55</v>
      </c>
      <c r="I1637" s="45">
        <v>0</v>
      </c>
      <c r="J1637" s="54">
        <v>0</v>
      </c>
      <c r="K1637" s="1">
        <f t="shared" ref="K1637" si="2412">(IF(F1637="SELL",G1637-H1637,IF(F1637="BUY",H1637-G1637)))*E1637</f>
        <v>1600</v>
      </c>
      <c r="L1637" s="51">
        <v>0</v>
      </c>
      <c r="M1637" s="51">
        <v>0</v>
      </c>
      <c r="N1637" s="1">
        <f t="shared" si="2396"/>
        <v>4</v>
      </c>
      <c r="O1637" s="1">
        <f t="shared" si="2407"/>
        <v>1600</v>
      </c>
      <c r="P1637" s="31"/>
      <c r="Q1637" s="31"/>
      <c r="R1637" s="31"/>
      <c r="S1637" s="31"/>
      <c r="T1637" s="31"/>
      <c r="U1637" s="31"/>
      <c r="V1637" s="31"/>
      <c r="W1637" s="31"/>
      <c r="X1637" s="31"/>
      <c r="Y1637" s="31"/>
      <c r="Z1637" s="31"/>
      <c r="AA1637" s="31"/>
      <c r="AB1637" s="31"/>
      <c r="AC1637" s="31"/>
      <c r="AD1637" s="31"/>
      <c r="AE1637" s="31"/>
      <c r="AF1637" s="31"/>
      <c r="AG1637" s="31"/>
    </row>
    <row r="1638" spans="1:33" s="32" customFormat="1" ht="15" customHeight="1">
      <c r="A1638" s="27">
        <v>43437</v>
      </c>
      <c r="B1638" s="15" t="s">
        <v>195</v>
      </c>
      <c r="C1638" s="15" t="s">
        <v>47</v>
      </c>
      <c r="D1638" s="15">
        <v>550</v>
      </c>
      <c r="E1638" s="28">
        <v>1061</v>
      </c>
      <c r="F1638" s="15" t="s">
        <v>8</v>
      </c>
      <c r="G1638" s="45">
        <v>16.2</v>
      </c>
      <c r="H1638" s="15">
        <v>17.2</v>
      </c>
      <c r="I1638" s="45">
        <v>0</v>
      </c>
      <c r="J1638" s="54">
        <v>0</v>
      </c>
      <c r="K1638" s="1">
        <f t="shared" ref="K1638" si="2413">(IF(F1638="SELL",G1638-H1638,IF(F1638="BUY",H1638-G1638)))*E1638</f>
        <v>1061</v>
      </c>
      <c r="L1638" s="51">
        <v>0</v>
      </c>
      <c r="M1638" s="51">
        <v>0</v>
      </c>
      <c r="N1638" s="1">
        <f t="shared" si="2396"/>
        <v>1</v>
      </c>
      <c r="O1638" s="1">
        <f t="shared" si="2407"/>
        <v>1061</v>
      </c>
      <c r="P1638" s="31"/>
      <c r="Q1638" s="31"/>
      <c r="R1638" s="31"/>
      <c r="S1638" s="31"/>
      <c r="T1638" s="31"/>
      <c r="U1638" s="31"/>
      <c r="V1638" s="31"/>
      <c r="W1638" s="31"/>
      <c r="X1638" s="31"/>
      <c r="Y1638" s="31"/>
      <c r="Z1638" s="31"/>
      <c r="AA1638" s="31"/>
      <c r="AB1638" s="31"/>
      <c r="AC1638" s="31"/>
      <c r="AD1638" s="31"/>
      <c r="AE1638" s="31"/>
      <c r="AF1638" s="31"/>
      <c r="AG1638" s="31"/>
    </row>
    <row r="1639" spans="1:33" s="32" customFormat="1" ht="15" customHeight="1">
      <c r="A1639" s="27">
        <v>43437</v>
      </c>
      <c r="B1639" s="15" t="s">
        <v>192</v>
      </c>
      <c r="C1639" s="15" t="s">
        <v>47</v>
      </c>
      <c r="D1639" s="15">
        <v>720</v>
      </c>
      <c r="E1639" s="28">
        <v>550</v>
      </c>
      <c r="F1639" s="15" t="s">
        <v>8</v>
      </c>
      <c r="G1639" s="45">
        <v>21</v>
      </c>
      <c r="H1639" s="15">
        <v>15</v>
      </c>
      <c r="I1639" s="45">
        <v>0</v>
      </c>
      <c r="J1639" s="54">
        <v>0</v>
      </c>
      <c r="K1639" s="1">
        <f t="shared" ref="K1639" si="2414">(IF(F1639="SELL",G1639-H1639,IF(F1639="BUY",H1639-G1639)))*E1639</f>
        <v>-3300</v>
      </c>
      <c r="L1639" s="51">
        <v>0</v>
      </c>
      <c r="M1639" s="51">
        <v>0</v>
      </c>
      <c r="N1639" s="1">
        <f t="shared" si="2396"/>
        <v>-6</v>
      </c>
      <c r="O1639" s="1">
        <f t="shared" si="2407"/>
        <v>-3300</v>
      </c>
      <c r="P1639" s="31"/>
      <c r="Q1639" s="31"/>
      <c r="R1639" s="31"/>
      <c r="S1639" s="31"/>
      <c r="T1639" s="31"/>
      <c r="U1639" s="31"/>
      <c r="V1639" s="31"/>
      <c r="W1639" s="31"/>
      <c r="X1639" s="31"/>
      <c r="Y1639" s="31"/>
      <c r="Z1639" s="31"/>
      <c r="AA1639" s="31"/>
      <c r="AB1639" s="31"/>
      <c r="AC1639" s="31"/>
      <c r="AD1639" s="31"/>
      <c r="AE1639" s="31"/>
      <c r="AF1639" s="31"/>
      <c r="AG1639" s="31"/>
    </row>
    <row r="1640" spans="1:33" s="32" customFormat="1" ht="15" customHeight="1">
      <c r="A1640" s="27">
        <v>43434</v>
      </c>
      <c r="B1640" s="15" t="s">
        <v>267</v>
      </c>
      <c r="C1640" s="15" t="s">
        <v>47</v>
      </c>
      <c r="D1640" s="15">
        <v>65</v>
      </c>
      <c r="E1640" s="28">
        <v>7500</v>
      </c>
      <c r="F1640" s="15" t="s">
        <v>8</v>
      </c>
      <c r="G1640" s="45">
        <v>3.5</v>
      </c>
      <c r="H1640" s="15">
        <v>3.8</v>
      </c>
      <c r="I1640" s="45">
        <v>4.2</v>
      </c>
      <c r="J1640" s="54">
        <v>0</v>
      </c>
      <c r="K1640" s="1">
        <f t="shared" ref="K1640" si="2415">(IF(F1640="SELL",G1640-H1640,IF(F1640="BUY",H1640-G1640)))*E1640</f>
        <v>2249.9999999999986</v>
      </c>
      <c r="L1640" s="51">
        <f>(IF(F1640="SELL",IF(I1640="",0,H1640-I1640),IF(F1640="BUY",IF(I1640="",0,I1640-H1640))))*E1640</f>
        <v>3000.0000000000027</v>
      </c>
      <c r="M1640" s="51">
        <v>0</v>
      </c>
      <c r="N1640" s="1">
        <f t="shared" si="2396"/>
        <v>0.70000000000000029</v>
      </c>
      <c r="O1640" s="1">
        <f t="shared" si="2407"/>
        <v>5250.0000000000018</v>
      </c>
      <c r="P1640" s="31"/>
      <c r="Q1640" s="31"/>
      <c r="R1640" s="31"/>
      <c r="S1640" s="31"/>
      <c r="T1640" s="31"/>
      <c r="U1640" s="31"/>
      <c r="V1640" s="31"/>
      <c r="W1640" s="31"/>
      <c r="X1640" s="31"/>
      <c r="Y1640" s="31"/>
      <c r="Z1640" s="31"/>
      <c r="AA1640" s="31"/>
      <c r="AB1640" s="31"/>
      <c r="AC1640" s="31"/>
      <c r="AD1640" s="31"/>
      <c r="AE1640" s="31"/>
      <c r="AF1640" s="31"/>
      <c r="AG1640" s="31"/>
    </row>
    <row r="1641" spans="1:33" s="32" customFormat="1" ht="15" customHeight="1">
      <c r="A1641" s="27">
        <v>43434</v>
      </c>
      <c r="B1641" s="15" t="s">
        <v>224</v>
      </c>
      <c r="C1641" s="15" t="s">
        <v>47</v>
      </c>
      <c r="D1641" s="15">
        <v>340</v>
      </c>
      <c r="E1641" s="28">
        <v>1500</v>
      </c>
      <c r="F1641" s="15" t="s">
        <v>8</v>
      </c>
      <c r="G1641" s="45">
        <v>12</v>
      </c>
      <c r="H1641" s="15">
        <v>13</v>
      </c>
      <c r="I1641" s="45">
        <v>0</v>
      </c>
      <c r="J1641" s="54">
        <v>0</v>
      </c>
      <c r="K1641" s="1">
        <f t="shared" ref="K1641" si="2416">(IF(F1641="SELL",G1641-H1641,IF(F1641="BUY",H1641-G1641)))*E1641</f>
        <v>1500</v>
      </c>
      <c r="L1641" s="51">
        <v>0</v>
      </c>
      <c r="M1641" s="51">
        <v>0</v>
      </c>
      <c r="N1641" s="1">
        <f t="shared" si="2396"/>
        <v>1</v>
      </c>
      <c r="O1641" s="1">
        <f t="shared" si="2407"/>
        <v>1500</v>
      </c>
      <c r="P1641" s="31"/>
      <c r="Q1641" s="31"/>
      <c r="R1641" s="31"/>
      <c r="S1641" s="31"/>
      <c r="T1641" s="31"/>
      <c r="U1641" s="31"/>
      <c r="V1641" s="31"/>
      <c r="W1641" s="31"/>
      <c r="X1641" s="31"/>
      <c r="Y1641" s="31"/>
      <c r="Z1641" s="31"/>
      <c r="AA1641" s="31"/>
      <c r="AB1641" s="31"/>
      <c r="AC1641" s="31"/>
      <c r="AD1641" s="31"/>
      <c r="AE1641" s="31"/>
      <c r="AF1641" s="31"/>
      <c r="AG1641" s="31"/>
    </row>
    <row r="1642" spans="1:33" s="32" customFormat="1" ht="15" customHeight="1">
      <c r="A1642" s="27">
        <v>43433</v>
      </c>
      <c r="B1642" s="15" t="s">
        <v>335</v>
      </c>
      <c r="C1642" s="15" t="s">
        <v>47</v>
      </c>
      <c r="D1642" s="15">
        <v>2250</v>
      </c>
      <c r="E1642" s="28">
        <v>250</v>
      </c>
      <c r="F1642" s="15" t="s">
        <v>8</v>
      </c>
      <c r="G1642" s="45">
        <v>65</v>
      </c>
      <c r="H1642" s="15">
        <v>70</v>
      </c>
      <c r="I1642" s="45">
        <v>0</v>
      </c>
      <c r="J1642" s="54">
        <v>0</v>
      </c>
      <c r="K1642" s="1">
        <f t="shared" ref="K1642" si="2417">(IF(F1642="SELL",G1642-H1642,IF(F1642="BUY",H1642-G1642)))*E1642</f>
        <v>1250</v>
      </c>
      <c r="L1642" s="51">
        <v>0</v>
      </c>
      <c r="M1642" s="51">
        <v>0</v>
      </c>
      <c r="N1642" s="1">
        <f t="shared" si="2396"/>
        <v>5</v>
      </c>
      <c r="O1642" s="1">
        <f t="shared" si="2407"/>
        <v>1250</v>
      </c>
      <c r="P1642" s="31"/>
      <c r="Q1642" s="31"/>
      <c r="R1642" s="31"/>
      <c r="S1642" s="31"/>
      <c r="T1642" s="31"/>
      <c r="U1642" s="31"/>
      <c r="V1642" s="31"/>
      <c r="W1642" s="31"/>
      <c r="X1642" s="31"/>
      <c r="Y1642" s="31"/>
      <c r="Z1642" s="31"/>
      <c r="AA1642" s="31"/>
      <c r="AB1642" s="31"/>
      <c r="AC1642" s="31"/>
      <c r="AD1642" s="31"/>
      <c r="AE1642" s="31"/>
      <c r="AF1642" s="31"/>
      <c r="AG1642" s="31"/>
    </row>
    <row r="1643" spans="1:33" s="32" customFormat="1" ht="15" customHeight="1">
      <c r="A1643" s="27">
        <v>43433</v>
      </c>
      <c r="B1643" s="15" t="s">
        <v>293</v>
      </c>
      <c r="C1643" s="15" t="s">
        <v>46</v>
      </c>
      <c r="D1643" s="15">
        <v>630</v>
      </c>
      <c r="E1643" s="28">
        <v>1200</v>
      </c>
      <c r="F1643" s="15" t="s">
        <v>8</v>
      </c>
      <c r="G1643" s="45">
        <v>6.7</v>
      </c>
      <c r="H1643" s="15">
        <v>8</v>
      </c>
      <c r="I1643" s="45">
        <v>0</v>
      </c>
      <c r="J1643" s="54">
        <v>0</v>
      </c>
      <c r="K1643" s="1">
        <f t="shared" ref="K1643" si="2418">(IF(F1643="SELL",G1643-H1643,IF(F1643="BUY",H1643-G1643)))*E1643</f>
        <v>1559.9999999999998</v>
      </c>
      <c r="L1643" s="51">
        <v>0</v>
      </c>
      <c r="M1643" s="51">
        <v>0</v>
      </c>
      <c r="N1643" s="1">
        <f t="shared" si="2396"/>
        <v>1.2999999999999998</v>
      </c>
      <c r="O1643" s="1">
        <f t="shared" si="2407"/>
        <v>1559.9999999999998</v>
      </c>
      <c r="P1643" s="31"/>
      <c r="Q1643" s="31"/>
      <c r="R1643" s="31"/>
      <c r="S1643" s="31"/>
      <c r="T1643" s="31"/>
      <c r="U1643" s="31"/>
      <c r="V1643" s="31"/>
      <c r="W1643" s="31"/>
      <c r="X1643" s="31"/>
      <c r="Y1643" s="31"/>
      <c r="Z1643" s="31"/>
      <c r="AA1643" s="31"/>
      <c r="AB1643" s="31"/>
      <c r="AC1643" s="31"/>
      <c r="AD1643" s="31"/>
      <c r="AE1643" s="31"/>
      <c r="AF1643" s="31"/>
      <c r="AG1643" s="31"/>
    </row>
    <row r="1644" spans="1:33" s="32" customFormat="1" ht="15" customHeight="1">
      <c r="A1644" s="27">
        <v>43431</v>
      </c>
      <c r="B1644" s="15" t="s">
        <v>335</v>
      </c>
      <c r="C1644" s="15" t="s">
        <v>47</v>
      </c>
      <c r="D1644" s="15">
        <v>1400</v>
      </c>
      <c r="E1644" s="28">
        <v>250</v>
      </c>
      <c r="F1644" s="15" t="s">
        <v>8</v>
      </c>
      <c r="G1644" s="45">
        <v>33</v>
      </c>
      <c r="H1644" s="15">
        <v>36</v>
      </c>
      <c r="I1644" s="45">
        <v>41</v>
      </c>
      <c r="J1644" s="54">
        <v>47</v>
      </c>
      <c r="K1644" s="1">
        <f t="shared" ref="K1644:K1645" si="2419">(IF(F1644="SELL",G1644-H1644,IF(F1644="BUY",H1644-G1644)))*E1644</f>
        <v>750</v>
      </c>
      <c r="L1644" s="51">
        <f>(IF(F1644="SELL",IF(I1644="",0,H1644-I1644),IF(F1644="BUY",IF(I1644="",0,I1644-H1644))))*E1644</f>
        <v>1250</v>
      </c>
      <c r="M1644" s="51">
        <v>1500</v>
      </c>
      <c r="N1644" s="1">
        <f t="shared" si="2396"/>
        <v>14</v>
      </c>
      <c r="O1644" s="1">
        <f t="shared" si="2407"/>
        <v>3500</v>
      </c>
      <c r="P1644" s="31"/>
      <c r="Q1644" s="31"/>
      <c r="R1644" s="31"/>
      <c r="S1644" s="31"/>
      <c r="T1644" s="31"/>
      <c r="U1644" s="31"/>
      <c r="V1644" s="31"/>
      <c r="W1644" s="31"/>
      <c r="X1644" s="31"/>
      <c r="Y1644" s="31"/>
      <c r="Z1644" s="31"/>
      <c r="AA1644" s="31"/>
      <c r="AB1644" s="31"/>
      <c r="AC1644" s="31"/>
      <c r="AD1644" s="31"/>
      <c r="AE1644" s="31"/>
      <c r="AF1644" s="31"/>
      <c r="AG1644" s="31"/>
    </row>
    <row r="1645" spans="1:33" s="32" customFormat="1" ht="15" customHeight="1">
      <c r="A1645" s="27">
        <v>43431</v>
      </c>
      <c r="B1645" s="15" t="s">
        <v>374</v>
      </c>
      <c r="C1645" s="15" t="s">
        <v>47</v>
      </c>
      <c r="D1645" s="15">
        <v>560</v>
      </c>
      <c r="E1645" s="28">
        <v>1200</v>
      </c>
      <c r="F1645" s="15" t="s">
        <v>8</v>
      </c>
      <c r="G1645" s="45">
        <v>11</v>
      </c>
      <c r="H1645" s="15">
        <v>12</v>
      </c>
      <c r="I1645" s="45">
        <v>14</v>
      </c>
      <c r="J1645" s="54">
        <v>16</v>
      </c>
      <c r="K1645" s="1">
        <f t="shared" si="2419"/>
        <v>1200</v>
      </c>
      <c r="L1645" s="51">
        <f t="shared" ref="L1645" si="2420">(IF(F1645="SELL",IF(I1645="",0,H1645-I1645),IF(F1645="BUY",IF(I1645="",0,I1645-H1645))))*E1645</f>
        <v>2400</v>
      </c>
      <c r="M1645" s="51">
        <v>2400</v>
      </c>
      <c r="N1645" s="1">
        <f t="shared" si="2396"/>
        <v>5</v>
      </c>
      <c r="O1645" s="1">
        <f t="shared" si="2407"/>
        <v>6000</v>
      </c>
      <c r="P1645" s="31"/>
      <c r="Q1645" s="31"/>
      <c r="R1645" s="31"/>
      <c r="S1645" s="31"/>
      <c r="T1645" s="31"/>
      <c r="U1645" s="31"/>
      <c r="V1645" s="31"/>
      <c r="W1645" s="31"/>
      <c r="X1645" s="31"/>
      <c r="Y1645" s="31"/>
      <c r="Z1645" s="31"/>
      <c r="AA1645" s="31"/>
      <c r="AB1645" s="31"/>
      <c r="AC1645" s="31"/>
      <c r="AD1645" s="31"/>
      <c r="AE1645" s="31"/>
      <c r="AF1645" s="31"/>
      <c r="AG1645" s="31"/>
    </row>
    <row r="1646" spans="1:33" s="32" customFormat="1" ht="15" customHeight="1">
      <c r="A1646" s="27">
        <v>43430</v>
      </c>
      <c r="B1646" s="15" t="s">
        <v>373</v>
      </c>
      <c r="C1646" s="15" t="s">
        <v>47</v>
      </c>
      <c r="D1646" s="15">
        <v>1240</v>
      </c>
      <c r="E1646" s="28">
        <v>500</v>
      </c>
      <c r="F1646" s="15" t="s">
        <v>8</v>
      </c>
      <c r="G1646" s="45">
        <v>19</v>
      </c>
      <c r="H1646" s="15">
        <v>23</v>
      </c>
      <c r="I1646" s="45">
        <v>27</v>
      </c>
      <c r="J1646" s="54">
        <v>0</v>
      </c>
      <c r="K1646" s="1">
        <f t="shared" ref="K1646:K1647" si="2421">(IF(F1646="SELL",G1646-H1646,IF(F1646="BUY",H1646-G1646)))*E1646</f>
        <v>2000</v>
      </c>
      <c r="L1646" s="51">
        <f t="shared" ref="L1646" si="2422">(IF(F1646="SELL",IF(I1646="",0,H1646-I1646),IF(F1646="BUY",IF(I1646="",0,I1646-H1646))))*E1646</f>
        <v>2000</v>
      </c>
      <c r="M1646" s="51">
        <v>0</v>
      </c>
      <c r="N1646" s="1">
        <f t="shared" si="2396"/>
        <v>8</v>
      </c>
      <c r="O1646" s="1">
        <f t="shared" si="2407"/>
        <v>4000</v>
      </c>
      <c r="P1646" s="31"/>
      <c r="Q1646" s="31"/>
      <c r="R1646" s="31"/>
      <c r="S1646" s="31"/>
      <c r="T1646" s="31"/>
      <c r="U1646" s="31"/>
      <c r="V1646" s="31"/>
      <c r="W1646" s="31"/>
      <c r="X1646" s="31"/>
      <c r="Y1646" s="31"/>
      <c r="Z1646" s="31"/>
      <c r="AA1646" s="31"/>
      <c r="AB1646" s="31"/>
      <c r="AC1646" s="31"/>
      <c r="AD1646" s="31"/>
      <c r="AE1646" s="31"/>
      <c r="AF1646" s="31"/>
      <c r="AG1646" s="31"/>
    </row>
    <row r="1647" spans="1:33" s="32" customFormat="1" ht="15" customHeight="1">
      <c r="A1647" s="27">
        <v>43426</v>
      </c>
      <c r="B1647" s="15" t="s">
        <v>166</v>
      </c>
      <c r="C1647" s="15" t="s">
        <v>47</v>
      </c>
      <c r="D1647" s="15">
        <v>225</v>
      </c>
      <c r="E1647" s="28">
        <v>3500</v>
      </c>
      <c r="F1647" s="15" t="s">
        <v>8</v>
      </c>
      <c r="G1647" s="45">
        <v>4.95</v>
      </c>
      <c r="H1647" s="15">
        <v>3.5</v>
      </c>
      <c r="I1647" s="45">
        <v>0</v>
      </c>
      <c r="J1647" s="54">
        <v>0</v>
      </c>
      <c r="K1647" s="1">
        <f t="shared" si="2421"/>
        <v>-5075.0000000000009</v>
      </c>
      <c r="L1647" s="51">
        <v>0</v>
      </c>
      <c r="M1647" s="51">
        <v>0</v>
      </c>
      <c r="N1647" s="1">
        <f t="shared" si="2396"/>
        <v>-1.4500000000000002</v>
      </c>
      <c r="O1647" s="1">
        <f t="shared" si="2407"/>
        <v>-5075.0000000000009</v>
      </c>
      <c r="P1647" s="31"/>
      <c r="Q1647" s="31"/>
      <c r="R1647" s="31"/>
      <c r="S1647" s="31"/>
      <c r="T1647" s="31"/>
      <c r="U1647" s="31"/>
      <c r="V1647" s="31"/>
      <c r="W1647" s="31"/>
      <c r="X1647" s="31"/>
      <c r="Y1647" s="31"/>
      <c r="Z1647" s="31"/>
      <c r="AA1647" s="31"/>
      <c r="AB1647" s="31"/>
      <c r="AC1647" s="31"/>
      <c r="AD1647" s="31"/>
      <c r="AE1647" s="31"/>
      <c r="AF1647" s="31"/>
      <c r="AG1647" s="31"/>
    </row>
    <row r="1648" spans="1:33" s="32" customFormat="1" ht="15" customHeight="1">
      <c r="A1648" s="27">
        <v>43426</v>
      </c>
      <c r="B1648" s="15" t="s">
        <v>269</v>
      </c>
      <c r="C1648" s="15" t="s">
        <v>47</v>
      </c>
      <c r="D1648" s="15">
        <v>65</v>
      </c>
      <c r="E1648" s="28">
        <v>12000</v>
      </c>
      <c r="F1648" s="15" t="s">
        <v>8</v>
      </c>
      <c r="G1648" s="45">
        <v>0.5</v>
      </c>
      <c r="H1648" s="15">
        <v>0.3</v>
      </c>
      <c r="I1648" s="45">
        <v>0</v>
      </c>
      <c r="J1648" s="54">
        <v>0</v>
      </c>
      <c r="K1648" s="1">
        <f t="shared" ref="K1648:K1649" si="2423">(IF(F1648="SELL",G1648-H1648,IF(F1648="BUY",H1648-G1648)))*E1648</f>
        <v>-2400</v>
      </c>
      <c r="L1648" s="51">
        <v>0</v>
      </c>
      <c r="M1648" s="51">
        <v>0</v>
      </c>
      <c r="N1648" s="1">
        <f t="shared" si="2396"/>
        <v>-0.2</v>
      </c>
      <c r="O1648" s="1">
        <f t="shared" si="2407"/>
        <v>-2400</v>
      </c>
      <c r="P1648" s="31"/>
      <c r="Q1648" s="31"/>
      <c r="R1648" s="31"/>
      <c r="S1648" s="31"/>
      <c r="T1648" s="31"/>
      <c r="U1648" s="31"/>
      <c r="V1648" s="31"/>
      <c r="W1648" s="31"/>
      <c r="X1648" s="31"/>
      <c r="Y1648" s="31"/>
      <c r="Z1648" s="31"/>
      <c r="AA1648" s="31"/>
      <c r="AB1648" s="31"/>
      <c r="AC1648" s="31"/>
      <c r="AD1648" s="31"/>
      <c r="AE1648" s="31"/>
      <c r="AF1648" s="31"/>
      <c r="AG1648" s="31"/>
    </row>
    <row r="1649" spans="1:33" s="32" customFormat="1" ht="15" customHeight="1">
      <c r="A1649" s="27">
        <v>43425</v>
      </c>
      <c r="B1649" s="15" t="s">
        <v>169</v>
      </c>
      <c r="C1649" s="15" t="s">
        <v>47</v>
      </c>
      <c r="D1649" s="15">
        <v>620</v>
      </c>
      <c r="E1649" s="28">
        <v>1000</v>
      </c>
      <c r="F1649" s="15" t="s">
        <v>8</v>
      </c>
      <c r="G1649" s="45">
        <v>13.5</v>
      </c>
      <c r="H1649" s="15">
        <v>15</v>
      </c>
      <c r="I1649" s="45">
        <v>18</v>
      </c>
      <c r="J1649" s="54">
        <v>0</v>
      </c>
      <c r="K1649" s="1">
        <f t="shared" si="2423"/>
        <v>1500</v>
      </c>
      <c r="L1649" s="51">
        <f t="shared" ref="L1649" si="2424">(IF(F1649="SELL",IF(I1649="",0,H1649-I1649),IF(F1649="BUY",IF(I1649="",0,I1649-H1649))))*E1649</f>
        <v>3000</v>
      </c>
      <c r="M1649" s="51">
        <v>0</v>
      </c>
      <c r="N1649" s="1">
        <f t="shared" si="2396"/>
        <v>4.5</v>
      </c>
      <c r="O1649" s="1">
        <f t="shared" si="2407"/>
        <v>4500</v>
      </c>
      <c r="P1649" s="31"/>
      <c r="Q1649" s="31"/>
      <c r="R1649" s="31"/>
      <c r="S1649" s="31"/>
      <c r="T1649" s="31"/>
      <c r="U1649" s="31"/>
      <c r="V1649" s="31"/>
      <c r="W1649" s="31"/>
      <c r="X1649" s="31"/>
      <c r="Y1649" s="31"/>
      <c r="Z1649" s="31"/>
      <c r="AA1649" s="31"/>
      <c r="AB1649" s="31"/>
      <c r="AC1649" s="31"/>
      <c r="AD1649" s="31"/>
      <c r="AE1649" s="31"/>
      <c r="AF1649" s="31"/>
      <c r="AG1649" s="31"/>
    </row>
    <row r="1650" spans="1:33" s="32" customFormat="1" ht="15" customHeight="1">
      <c r="A1650" s="27">
        <v>43425</v>
      </c>
      <c r="B1650" s="15" t="s">
        <v>372</v>
      </c>
      <c r="C1650" s="15" t="s">
        <v>47</v>
      </c>
      <c r="D1650" s="15">
        <v>700</v>
      </c>
      <c r="E1650" s="28">
        <v>550</v>
      </c>
      <c r="F1650" s="15" t="s">
        <v>8</v>
      </c>
      <c r="G1650" s="45">
        <v>8.6999999999999993</v>
      </c>
      <c r="H1650" s="15">
        <v>10.4</v>
      </c>
      <c r="I1650" s="45">
        <v>0</v>
      </c>
      <c r="J1650" s="54">
        <v>0</v>
      </c>
      <c r="K1650" s="1">
        <f t="shared" ref="K1650" si="2425">(IF(F1650="SELL",G1650-H1650,IF(F1650="BUY",H1650-G1650)))*E1650</f>
        <v>935.00000000000057</v>
      </c>
      <c r="L1650" s="51">
        <v>0</v>
      </c>
      <c r="M1650" s="51">
        <v>0</v>
      </c>
      <c r="N1650" s="1">
        <f t="shared" si="2396"/>
        <v>1.7000000000000011</v>
      </c>
      <c r="O1650" s="1">
        <f t="shared" si="2407"/>
        <v>935.00000000000057</v>
      </c>
      <c r="P1650" s="31"/>
      <c r="Q1650" s="31"/>
      <c r="R1650" s="31"/>
      <c r="S1650" s="31"/>
      <c r="T1650" s="31"/>
      <c r="U1650" s="31"/>
      <c r="V1650" s="31"/>
      <c r="W1650" s="31"/>
      <c r="X1650" s="31"/>
      <c r="Y1650" s="31"/>
      <c r="Z1650" s="31"/>
      <c r="AA1650" s="31"/>
      <c r="AB1650" s="31"/>
      <c r="AC1650" s="31"/>
      <c r="AD1650" s="31"/>
      <c r="AE1650" s="31"/>
      <c r="AF1650" s="31"/>
      <c r="AG1650" s="31"/>
    </row>
    <row r="1651" spans="1:33" s="32" customFormat="1" ht="15" customHeight="1">
      <c r="A1651" s="27">
        <v>43424</v>
      </c>
      <c r="B1651" s="15" t="s">
        <v>198</v>
      </c>
      <c r="C1651" s="15" t="s">
        <v>47</v>
      </c>
      <c r="D1651" s="15">
        <v>285</v>
      </c>
      <c r="E1651" s="28">
        <v>3000</v>
      </c>
      <c r="F1651" s="15" t="s">
        <v>8</v>
      </c>
      <c r="G1651" s="45">
        <v>5</v>
      </c>
      <c r="H1651" s="15">
        <v>5.4</v>
      </c>
      <c r="I1651" s="45">
        <v>0</v>
      </c>
      <c r="J1651" s="54">
        <v>0</v>
      </c>
      <c r="K1651" s="1">
        <f t="shared" ref="K1651" si="2426">(IF(F1651="SELL",G1651-H1651,IF(F1651="BUY",H1651-G1651)))*E1651</f>
        <v>1200.0000000000011</v>
      </c>
      <c r="L1651" s="51">
        <v>0</v>
      </c>
      <c r="M1651" s="51">
        <v>0</v>
      </c>
      <c r="N1651" s="1">
        <f t="shared" si="2396"/>
        <v>0.40000000000000036</v>
      </c>
      <c r="O1651" s="1">
        <f t="shared" si="2407"/>
        <v>1200.0000000000011</v>
      </c>
      <c r="P1651" s="31"/>
      <c r="Q1651" s="31"/>
      <c r="R1651" s="31"/>
      <c r="S1651" s="31"/>
      <c r="T1651" s="31"/>
      <c r="U1651" s="31"/>
      <c r="V1651" s="31"/>
      <c r="W1651" s="31"/>
      <c r="X1651" s="31"/>
      <c r="Y1651" s="31"/>
      <c r="Z1651" s="31"/>
      <c r="AA1651" s="31"/>
      <c r="AB1651" s="31"/>
      <c r="AC1651" s="31"/>
      <c r="AD1651" s="31"/>
      <c r="AE1651" s="31"/>
      <c r="AF1651" s="31"/>
      <c r="AG1651" s="31"/>
    </row>
    <row r="1652" spans="1:33" s="32" customFormat="1" ht="15" customHeight="1">
      <c r="A1652" s="27">
        <v>43423</v>
      </c>
      <c r="B1652" s="15" t="s">
        <v>272</v>
      </c>
      <c r="C1652" s="15" t="s">
        <v>47</v>
      </c>
      <c r="D1652" s="15">
        <v>75</v>
      </c>
      <c r="E1652" s="28">
        <v>9000</v>
      </c>
      <c r="F1652" s="15" t="s">
        <v>8</v>
      </c>
      <c r="G1652" s="45">
        <v>1.7</v>
      </c>
      <c r="H1652" s="15">
        <v>2</v>
      </c>
      <c r="I1652" s="45">
        <v>0</v>
      </c>
      <c r="J1652" s="54">
        <v>0</v>
      </c>
      <c r="K1652" s="1">
        <f t="shared" ref="K1652" si="2427">(IF(F1652="SELL",G1652-H1652,IF(F1652="BUY",H1652-G1652)))*E1652</f>
        <v>2700.0000000000005</v>
      </c>
      <c r="L1652" s="51">
        <v>0</v>
      </c>
      <c r="M1652" s="51">
        <v>0</v>
      </c>
      <c r="N1652" s="1">
        <f t="shared" si="2396"/>
        <v>0.30000000000000004</v>
      </c>
      <c r="O1652" s="1">
        <f t="shared" si="2407"/>
        <v>2700.0000000000005</v>
      </c>
      <c r="P1652" s="31"/>
      <c r="Q1652" s="31"/>
      <c r="R1652" s="31"/>
      <c r="S1652" s="31"/>
      <c r="T1652" s="31"/>
      <c r="U1652" s="31"/>
      <c r="V1652" s="31"/>
      <c r="W1652" s="31"/>
      <c r="X1652" s="31"/>
      <c r="Y1652" s="31"/>
      <c r="Z1652" s="31"/>
      <c r="AA1652" s="31"/>
      <c r="AB1652" s="31"/>
      <c r="AC1652" s="31"/>
      <c r="AD1652" s="31"/>
      <c r="AE1652" s="31"/>
      <c r="AF1652" s="31"/>
      <c r="AG1652" s="31"/>
    </row>
    <row r="1653" spans="1:33" s="32" customFormat="1" ht="15" customHeight="1">
      <c r="A1653" s="27">
        <v>43420</v>
      </c>
      <c r="B1653" s="15" t="s">
        <v>198</v>
      </c>
      <c r="C1653" s="15" t="s">
        <v>47</v>
      </c>
      <c r="D1653" s="15">
        <v>295</v>
      </c>
      <c r="E1653" s="28">
        <v>3000</v>
      </c>
      <c r="F1653" s="15" t="s">
        <v>8</v>
      </c>
      <c r="G1653" s="45">
        <v>5.3</v>
      </c>
      <c r="H1653" s="15">
        <v>5.7</v>
      </c>
      <c r="I1653" s="45">
        <v>0</v>
      </c>
      <c r="J1653" s="54">
        <v>0</v>
      </c>
      <c r="K1653" s="1">
        <f t="shared" ref="K1653" si="2428">(IF(F1653="SELL",G1653-H1653,IF(F1653="BUY",H1653-G1653)))*E1653</f>
        <v>1200.0000000000011</v>
      </c>
      <c r="L1653" s="51">
        <v>0</v>
      </c>
      <c r="M1653" s="51">
        <v>0</v>
      </c>
      <c r="N1653" s="1">
        <f t="shared" si="2396"/>
        <v>0.40000000000000036</v>
      </c>
      <c r="O1653" s="1">
        <f t="shared" si="2407"/>
        <v>1200.0000000000011</v>
      </c>
      <c r="P1653" s="31"/>
      <c r="Q1653" s="31"/>
      <c r="R1653" s="31"/>
      <c r="S1653" s="31"/>
      <c r="T1653" s="31"/>
      <c r="U1653" s="31"/>
      <c r="V1653" s="31"/>
      <c r="W1653" s="31"/>
      <c r="X1653" s="31"/>
      <c r="Y1653" s="31"/>
      <c r="Z1653" s="31"/>
      <c r="AA1653" s="31"/>
      <c r="AB1653" s="31"/>
      <c r="AC1653" s="31"/>
      <c r="AD1653" s="31"/>
      <c r="AE1653" s="31"/>
      <c r="AF1653" s="31"/>
      <c r="AG1653" s="31"/>
    </row>
    <row r="1654" spans="1:33" s="32" customFormat="1" ht="15" customHeight="1">
      <c r="A1654" s="27">
        <v>43420</v>
      </c>
      <c r="B1654" s="15" t="s">
        <v>166</v>
      </c>
      <c r="C1654" s="15" t="s">
        <v>47</v>
      </c>
      <c r="D1654" s="15">
        <v>235</v>
      </c>
      <c r="E1654" s="28">
        <v>3500</v>
      </c>
      <c r="F1654" s="15" t="s">
        <v>8</v>
      </c>
      <c r="G1654" s="45">
        <v>6.1</v>
      </c>
      <c r="H1654" s="15">
        <v>4.7</v>
      </c>
      <c r="I1654" s="45">
        <v>0</v>
      </c>
      <c r="J1654" s="54">
        <v>0</v>
      </c>
      <c r="K1654" s="1">
        <f t="shared" ref="K1654" si="2429">(IF(F1654="SELL",G1654-H1654,IF(F1654="BUY",H1654-G1654)))*E1654</f>
        <v>-4899.9999999999982</v>
      </c>
      <c r="L1654" s="51">
        <v>0</v>
      </c>
      <c r="M1654" s="51">
        <v>0</v>
      </c>
      <c r="N1654" s="1">
        <f t="shared" si="2396"/>
        <v>-1.3999999999999995</v>
      </c>
      <c r="O1654" s="1">
        <f t="shared" si="2407"/>
        <v>-4899.9999999999982</v>
      </c>
      <c r="P1654" s="31"/>
      <c r="Q1654" s="31"/>
      <c r="R1654" s="31"/>
      <c r="S1654" s="31"/>
      <c r="T1654" s="31"/>
      <c r="U1654" s="31"/>
      <c r="V1654" s="31"/>
      <c r="W1654" s="31"/>
      <c r="X1654" s="31"/>
      <c r="Y1654" s="31"/>
      <c r="Z1654" s="31"/>
      <c r="AA1654" s="31"/>
      <c r="AB1654" s="31"/>
      <c r="AC1654" s="31"/>
      <c r="AD1654" s="31"/>
      <c r="AE1654" s="31"/>
      <c r="AF1654" s="31"/>
      <c r="AG1654" s="31"/>
    </row>
    <row r="1655" spans="1:33" s="32" customFormat="1" ht="15" customHeight="1">
      <c r="A1655" s="27">
        <v>43419</v>
      </c>
      <c r="B1655" s="15" t="s">
        <v>198</v>
      </c>
      <c r="C1655" s="15" t="s">
        <v>47</v>
      </c>
      <c r="D1655" s="15">
        <v>290</v>
      </c>
      <c r="E1655" s="28">
        <v>3000</v>
      </c>
      <c r="F1655" s="15" t="s">
        <v>8</v>
      </c>
      <c r="G1655" s="45">
        <v>5.5</v>
      </c>
      <c r="H1655" s="15">
        <v>6.2</v>
      </c>
      <c r="I1655" s="45">
        <v>0</v>
      </c>
      <c r="J1655" s="54">
        <v>0</v>
      </c>
      <c r="K1655" s="1">
        <f t="shared" ref="K1655" si="2430">(IF(F1655="SELL",G1655-H1655,IF(F1655="BUY",H1655-G1655)))*E1655</f>
        <v>2100.0000000000005</v>
      </c>
      <c r="L1655" s="51">
        <v>0</v>
      </c>
      <c r="M1655" s="51">
        <v>0</v>
      </c>
      <c r="N1655" s="1">
        <f t="shared" si="2396"/>
        <v>0.70000000000000018</v>
      </c>
      <c r="O1655" s="1">
        <f t="shared" si="2407"/>
        <v>2100.0000000000005</v>
      </c>
      <c r="P1655" s="31"/>
      <c r="Q1655" s="31"/>
      <c r="R1655" s="31"/>
      <c r="S1655" s="31"/>
      <c r="T1655" s="31"/>
      <c r="U1655" s="31"/>
      <c r="V1655" s="31"/>
      <c r="W1655" s="31"/>
      <c r="X1655" s="31"/>
      <c r="Y1655" s="31"/>
      <c r="Z1655" s="31"/>
      <c r="AA1655" s="31"/>
      <c r="AB1655" s="31"/>
      <c r="AC1655" s="31"/>
      <c r="AD1655" s="31"/>
      <c r="AE1655" s="31"/>
      <c r="AF1655" s="31"/>
      <c r="AG1655" s="31"/>
    </row>
    <row r="1656" spans="1:33" s="32" customFormat="1" ht="15" customHeight="1">
      <c r="A1656" s="27">
        <v>43419</v>
      </c>
      <c r="B1656" s="15" t="s">
        <v>257</v>
      </c>
      <c r="C1656" s="15" t="s">
        <v>47</v>
      </c>
      <c r="D1656" s="15">
        <v>260</v>
      </c>
      <c r="E1656" s="28">
        <v>2000</v>
      </c>
      <c r="F1656" s="15" t="s">
        <v>8</v>
      </c>
      <c r="G1656" s="45">
        <v>7.7</v>
      </c>
      <c r="H1656" s="15">
        <v>8.5</v>
      </c>
      <c r="I1656" s="45">
        <v>10</v>
      </c>
      <c r="J1656" s="54">
        <v>0</v>
      </c>
      <c r="K1656" s="1">
        <f t="shared" ref="K1656" si="2431">(IF(F1656="SELL",G1656-H1656,IF(F1656="BUY",H1656-G1656)))*E1656</f>
        <v>1599.9999999999995</v>
      </c>
      <c r="L1656" s="51">
        <f t="shared" ref="L1656" si="2432">(IF(F1656="SELL",IF(I1656="",0,H1656-I1656),IF(F1656="BUY",IF(I1656="",0,I1656-H1656))))*E1656</f>
        <v>3000</v>
      </c>
      <c r="M1656" s="51">
        <v>0</v>
      </c>
      <c r="N1656" s="1">
        <f t="shared" si="2396"/>
        <v>2.2999999999999998</v>
      </c>
      <c r="O1656" s="1">
        <f t="shared" si="2407"/>
        <v>4600</v>
      </c>
      <c r="P1656" s="31"/>
      <c r="Q1656" s="31"/>
      <c r="R1656" s="31"/>
      <c r="S1656" s="31"/>
      <c r="T1656" s="31"/>
      <c r="U1656" s="31"/>
      <c r="V1656" s="31"/>
      <c r="W1656" s="31"/>
      <c r="X1656" s="31"/>
      <c r="Y1656" s="31"/>
      <c r="Z1656" s="31"/>
      <c r="AA1656" s="31"/>
      <c r="AB1656" s="31"/>
      <c r="AC1656" s="31"/>
      <c r="AD1656" s="31"/>
      <c r="AE1656" s="31"/>
      <c r="AF1656" s="31"/>
      <c r="AG1656" s="31"/>
    </row>
    <row r="1657" spans="1:33" s="32" customFormat="1" ht="15" customHeight="1">
      <c r="A1657" s="27">
        <v>43418</v>
      </c>
      <c r="B1657" s="15" t="s">
        <v>198</v>
      </c>
      <c r="C1657" s="15" t="s">
        <v>47</v>
      </c>
      <c r="D1657" s="15">
        <v>285</v>
      </c>
      <c r="E1657" s="28">
        <v>3000</v>
      </c>
      <c r="F1657" s="15" t="s">
        <v>8</v>
      </c>
      <c r="G1657" s="45">
        <v>6</v>
      </c>
      <c r="H1657" s="15">
        <v>6.5</v>
      </c>
      <c r="I1657" s="45">
        <v>7.5</v>
      </c>
      <c r="J1657" s="54">
        <v>8.5</v>
      </c>
      <c r="K1657" s="1">
        <f t="shared" ref="K1657" si="2433">(IF(F1657="SELL",G1657-H1657,IF(F1657="BUY",H1657-G1657)))*E1657</f>
        <v>1500</v>
      </c>
      <c r="L1657" s="51">
        <f t="shared" ref="L1657:L1658" si="2434">(IF(F1657="SELL",IF(I1657="",0,H1657-I1657),IF(F1657="BUY",IF(I1657="",0,I1657-H1657))))*E1657</f>
        <v>3000</v>
      </c>
      <c r="M1657" s="51">
        <v>3000</v>
      </c>
      <c r="N1657" s="1">
        <f t="shared" si="2396"/>
        <v>2.5</v>
      </c>
      <c r="O1657" s="1">
        <f t="shared" si="2407"/>
        <v>7500</v>
      </c>
      <c r="P1657" s="31"/>
      <c r="Q1657" s="31"/>
      <c r="R1657" s="31"/>
      <c r="S1657" s="31"/>
      <c r="T1657" s="31"/>
      <c r="U1657" s="31"/>
      <c r="V1657" s="31"/>
      <c r="W1657" s="31"/>
      <c r="X1657" s="31"/>
      <c r="Y1657" s="31"/>
      <c r="Z1657" s="31"/>
      <c r="AA1657" s="31"/>
      <c r="AB1657" s="31"/>
      <c r="AC1657" s="31"/>
      <c r="AD1657" s="31"/>
      <c r="AE1657" s="31"/>
      <c r="AF1657" s="31"/>
      <c r="AG1657" s="31"/>
    </row>
    <row r="1658" spans="1:33" s="32" customFormat="1" ht="15" customHeight="1">
      <c r="A1658" s="27">
        <v>43418</v>
      </c>
      <c r="B1658" s="15" t="s">
        <v>169</v>
      </c>
      <c r="C1658" s="15" t="s">
        <v>47</v>
      </c>
      <c r="D1658" s="15">
        <v>620</v>
      </c>
      <c r="E1658" s="28">
        <v>1000</v>
      </c>
      <c r="F1658" s="15" t="s">
        <v>8</v>
      </c>
      <c r="G1658" s="45">
        <v>23</v>
      </c>
      <c r="H1658" s="15">
        <v>26</v>
      </c>
      <c r="I1658" s="45">
        <v>29</v>
      </c>
      <c r="J1658" s="54">
        <v>0</v>
      </c>
      <c r="K1658" s="1">
        <f t="shared" ref="K1658:K1659" si="2435">(IF(F1658="SELL",G1658-H1658,IF(F1658="BUY",H1658-G1658)))*E1658</f>
        <v>3000</v>
      </c>
      <c r="L1658" s="51">
        <f t="shared" si="2434"/>
        <v>3000</v>
      </c>
      <c r="M1658" s="51">
        <v>0</v>
      </c>
      <c r="N1658" s="1">
        <f t="shared" si="2396"/>
        <v>6</v>
      </c>
      <c r="O1658" s="1">
        <f t="shared" si="2407"/>
        <v>6000</v>
      </c>
      <c r="P1658" s="31"/>
      <c r="Q1658" s="31"/>
      <c r="R1658" s="31"/>
      <c r="S1658" s="31"/>
      <c r="T1658" s="31"/>
      <c r="U1658" s="31"/>
      <c r="V1658" s="31"/>
      <c r="W1658" s="31"/>
      <c r="X1658" s="31"/>
      <c r="Y1658" s="31"/>
      <c r="Z1658" s="31"/>
      <c r="AA1658" s="31"/>
      <c r="AB1658" s="31"/>
      <c r="AC1658" s="31"/>
      <c r="AD1658" s="31"/>
      <c r="AE1658" s="31"/>
      <c r="AF1658" s="31"/>
      <c r="AG1658" s="31"/>
    </row>
    <row r="1659" spans="1:33" s="32" customFormat="1" ht="15" customHeight="1">
      <c r="A1659" s="27">
        <v>43417</v>
      </c>
      <c r="B1659" s="15" t="s">
        <v>364</v>
      </c>
      <c r="C1659" s="15" t="s">
        <v>46</v>
      </c>
      <c r="D1659" s="15">
        <v>130</v>
      </c>
      <c r="E1659" s="28">
        <v>4500</v>
      </c>
      <c r="F1659" s="15" t="s">
        <v>8</v>
      </c>
      <c r="G1659" s="45">
        <v>4</v>
      </c>
      <c r="H1659" s="15">
        <v>4.5</v>
      </c>
      <c r="I1659" s="45">
        <v>0</v>
      </c>
      <c r="J1659" s="54">
        <v>0</v>
      </c>
      <c r="K1659" s="1">
        <f t="shared" si="2435"/>
        <v>2250</v>
      </c>
      <c r="L1659" s="51">
        <v>0</v>
      </c>
      <c r="M1659" s="51">
        <v>0</v>
      </c>
      <c r="N1659" s="1">
        <f t="shared" si="2396"/>
        <v>0.5</v>
      </c>
      <c r="O1659" s="1">
        <f t="shared" si="2407"/>
        <v>2250</v>
      </c>
      <c r="P1659" s="31"/>
      <c r="Q1659" s="31"/>
      <c r="R1659" s="31"/>
      <c r="S1659" s="31"/>
      <c r="T1659" s="31"/>
      <c r="U1659" s="31"/>
      <c r="V1659" s="31"/>
      <c r="W1659" s="31"/>
      <c r="X1659" s="31"/>
      <c r="Y1659" s="31"/>
      <c r="Z1659" s="31"/>
      <c r="AA1659" s="31"/>
      <c r="AB1659" s="31"/>
      <c r="AC1659" s="31"/>
      <c r="AD1659" s="31"/>
      <c r="AE1659" s="31"/>
      <c r="AF1659" s="31"/>
      <c r="AG1659" s="31"/>
    </row>
    <row r="1660" spans="1:33" s="32" customFormat="1" ht="15" customHeight="1">
      <c r="A1660" s="27">
        <v>43416</v>
      </c>
      <c r="B1660" s="15" t="s">
        <v>255</v>
      </c>
      <c r="C1660" s="15" t="s">
        <v>47</v>
      </c>
      <c r="D1660" s="15">
        <v>90</v>
      </c>
      <c r="E1660" s="28">
        <v>6000</v>
      </c>
      <c r="F1660" s="15" t="s">
        <v>8</v>
      </c>
      <c r="G1660" s="45">
        <v>3.8</v>
      </c>
      <c r="H1660" s="15">
        <v>0</v>
      </c>
      <c r="I1660" s="45">
        <v>0</v>
      </c>
      <c r="J1660" s="54">
        <v>0</v>
      </c>
      <c r="K1660" s="1">
        <v>0</v>
      </c>
      <c r="L1660" s="51">
        <v>0</v>
      </c>
      <c r="M1660" s="51">
        <v>0</v>
      </c>
      <c r="N1660" s="1">
        <f t="shared" si="2396"/>
        <v>0</v>
      </c>
      <c r="O1660" s="1">
        <f t="shared" si="2407"/>
        <v>0</v>
      </c>
      <c r="P1660" s="31"/>
      <c r="Q1660" s="31"/>
      <c r="R1660" s="31"/>
      <c r="S1660" s="31"/>
      <c r="T1660" s="31"/>
      <c r="U1660" s="31"/>
      <c r="V1660" s="31"/>
      <c r="W1660" s="31"/>
      <c r="X1660" s="31"/>
      <c r="Y1660" s="31"/>
      <c r="Z1660" s="31"/>
      <c r="AA1660" s="31"/>
      <c r="AB1660" s="31"/>
      <c r="AC1660" s="31"/>
      <c r="AD1660" s="31"/>
      <c r="AE1660" s="31"/>
      <c r="AF1660" s="31"/>
      <c r="AG1660" s="31"/>
    </row>
    <row r="1661" spans="1:33" s="32" customFormat="1" ht="15" customHeight="1">
      <c r="A1661" s="27">
        <v>43413</v>
      </c>
      <c r="B1661" s="15" t="s">
        <v>185</v>
      </c>
      <c r="C1661" s="15" t="s">
        <v>47</v>
      </c>
      <c r="D1661" s="15">
        <v>125</v>
      </c>
      <c r="E1661" s="28">
        <v>3500</v>
      </c>
      <c r="F1661" s="15" t="s">
        <v>8</v>
      </c>
      <c r="G1661" s="45">
        <v>4.05</v>
      </c>
      <c r="H1661" s="15">
        <v>4.5</v>
      </c>
      <c r="I1661" s="45">
        <v>0</v>
      </c>
      <c r="J1661" s="54">
        <v>0</v>
      </c>
      <c r="K1661" s="1">
        <f t="shared" ref="K1661" si="2436">(IF(F1661="SELL",G1661-H1661,IF(F1661="BUY",H1661-G1661)))*E1661</f>
        <v>1575.0000000000007</v>
      </c>
      <c r="L1661" s="51">
        <v>0</v>
      </c>
      <c r="M1661" s="51">
        <v>0</v>
      </c>
      <c r="N1661" s="1">
        <f t="shared" si="2396"/>
        <v>0.45000000000000018</v>
      </c>
      <c r="O1661" s="1">
        <f t="shared" si="2407"/>
        <v>1575.0000000000007</v>
      </c>
      <c r="P1661" s="31"/>
      <c r="Q1661" s="31"/>
      <c r="R1661" s="31"/>
      <c r="S1661" s="31"/>
      <c r="T1661" s="31"/>
      <c r="U1661" s="31"/>
      <c r="V1661" s="31"/>
      <c r="W1661" s="31"/>
      <c r="X1661" s="31"/>
      <c r="Y1661" s="31"/>
      <c r="Z1661" s="31"/>
      <c r="AA1661" s="31"/>
      <c r="AB1661" s="31"/>
      <c r="AC1661" s="31"/>
      <c r="AD1661" s="31"/>
      <c r="AE1661" s="31"/>
      <c r="AF1661" s="31"/>
      <c r="AG1661" s="31"/>
    </row>
    <row r="1662" spans="1:33" s="32" customFormat="1" ht="15" customHeight="1">
      <c r="A1662" s="27">
        <v>43413</v>
      </c>
      <c r="B1662" s="15" t="s">
        <v>257</v>
      </c>
      <c r="C1662" s="15" t="s">
        <v>47</v>
      </c>
      <c r="D1662" s="15">
        <v>250</v>
      </c>
      <c r="E1662" s="28">
        <v>2000</v>
      </c>
      <c r="F1662" s="15" t="s">
        <v>8</v>
      </c>
      <c r="G1662" s="45">
        <v>10.1</v>
      </c>
      <c r="H1662" s="15">
        <v>10.8</v>
      </c>
      <c r="I1662" s="45">
        <v>0</v>
      </c>
      <c r="J1662" s="54">
        <v>0</v>
      </c>
      <c r="K1662" s="1">
        <f t="shared" ref="K1662" si="2437">(IF(F1662="SELL",G1662-H1662,IF(F1662="BUY",H1662-G1662)))*E1662</f>
        <v>1400.000000000002</v>
      </c>
      <c r="L1662" s="51">
        <v>0</v>
      </c>
      <c r="M1662" s="51">
        <v>0</v>
      </c>
      <c r="N1662" s="1">
        <f t="shared" si="2396"/>
        <v>0.70000000000000107</v>
      </c>
      <c r="O1662" s="1">
        <f t="shared" si="2407"/>
        <v>1400.000000000002</v>
      </c>
      <c r="P1662" s="31"/>
      <c r="Q1662" s="31"/>
      <c r="R1662" s="31"/>
      <c r="S1662" s="31"/>
      <c r="T1662" s="31"/>
      <c r="U1662" s="31"/>
      <c r="V1662" s="31"/>
      <c r="W1662" s="31"/>
      <c r="X1662" s="31"/>
      <c r="Y1662" s="31"/>
      <c r="Z1662" s="31"/>
      <c r="AA1662" s="31"/>
      <c r="AB1662" s="31"/>
      <c r="AC1662" s="31"/>
      <c r="AD1662" s="31"/>
      <c r="AE1662" s="31"/>
      <c r="AF1662" s="31"/>
      <c r="AG1662" s="31"/>
    </row>
    <row r="1663" spans="1:33" s="32" customFormat="1" ht="15" customHeight="1">
      <c r="A1663" s="27">
        <v>43410</v>
      </c>
      <c r="B1663" s="15" t="s">
        <v>148</v>
      </c>
      <c r="C1663" s="15" t="s">
        <v>47</v>
      </c>
      <c r="D1663" s="15">
        <v>610</v>
      </c>
      <c r="E1663" s="28">
        <v>1200</v>
      </c>
      <c r="F1663" s="15" t="s">
        <v>8</v>
      </c>
      <c r="G1663" s="45">
        <v>19.5</v>
      </c>
      <c r="H1663" s="15">
        <v>17</v>
      </c>
      <c r="I1663" s="45">
        <v>0</v>
      </c>
      <c r="J1663" s="54">
        <v>0</v>
      </c>
      <c r="K1663" s="1">
        <f t="shared" ref="K1663" si="2438">(IF(F1663="SELL",G1663-H1663,IF(F1663="BUY",H1663-G1663)))*E1663</f>
        <v>-3000</v>
      </c>
      <c r="L1663" s="51">
        <v>0</v>
      </c>
      <c r="M1663" s="51">
        <v>0</v>
      </c>
      <c r="N1663" s="1">
        <f t="shared" si="2396"/>
        <v>-2.5</v>
      </c>
      <c r="O1663" s="1">
        <f t="shared" si="2407"/>
        <v>-3000</v>
      </c>
      <c r="P1663" s="31"/>
      <c r="Q1663" s="31"/>
      <c r="R1663" s="31"/>
      <c r="S1663" s="31"/>
      <c r="T1663" s="31"/>
      <c r="U1663" s="31"/>
      <c r="V1663" s="31"/>
      <c r="W1663" s="31"/>
      <c r="X1663" s="31"/>
      <c r="Y1663" s="31"/>
      <c r="Z1663" s="31"/>
      <c r="AA1663" s="31"/>
      <c r="AB1663" s="31"/>
      <c r="AC1663" s="31"/>
      <c r="AD1663" s="31"/>
      <c r="AE1663" s="31"/>
      <c r="AF1663" s="31"/>
      <c r="AG1663" s="31"/>
    </row>
    <row r="1664" spans="1:33" s="32" customFormat="1" ht="15" customHeight="1">
      <c r="A1664" s="27">
        <v>43409</v>
      </c>
      <c r="B1664" s="15" t="s">
        <v>252</v>
      </c>
      <c r="C1664" s="15" t="s">
        <v>46</v>
      </c>
      <c r="D1664" s="15">
        <v>170</v>
      </c>
      <c r="E1664" s="28">
        <v>4000</v>
      </c>
      <c r="F1664" s="15" t="s">
        <v>8</v>
      </c>
      <c r="G1664" s="45">
        <v>9.0500000000000007</v>
      </c>
      <c r="H1664" s="15">
        <v>10</v>
      </c>
      <c r="I1664" s="45">
        <v>11.5</v>
      </c>
      <c r="J1664" s="54">
        <v>0</v>
      </c>
      <c r="K1664" s="1">
        <f t="shared" ref="K1664" si="2439">(IF(F1664="SELL",G1664-H1664,IF(F1664="BUY",H1664-G1664)))*E1664</f>
        <v>3799.9999999999973</v>
      </c>
      <c r="L1664" s="51">
        <f t="shared" ref="L1664" si="2440">(IF(F1664="SELL",IF(I1664="",0,H1664-I1664),IF(F1664="BUY",IF(I1664="",0,I1664-H1664))))*E1664</f>
        <v>6000</v>
      </c>
      <c r="M1664" s="51">
        <v>0</v>
      </c>
      <c r="N1664" s="1">
        <f t="shared" si="2396"/>
        <v>2.4499999999999993</v>
      </c>
      <c r="O1664" s="1">
        <f t="shared" si="2407"/>
        <v>9799.9999999999964</v>
      </c>
      <c r="P1664" s="31"/>
      <c r="Q1664" s="31"/>
      <c r="R1664" s="31"/>
      <c r="S1664" s="31"/>
      <c r="T1664" s="31"/>
      <c r="U1664" s="31"/>
      <c r="V1664" s="31"/>
      <c r="W1664" s="31"/>
      <c r="X1664" s="31"/>
      <c r="Y1664" s="31"/>
      <c r="Z1664" s="31"/>
      <c r="AA1664" s="31"/>
      <c r="AB1664" s="31"/>
      <c r="AC1664" s="31"/>
      <c r="AD1664" s="31"/>
      <c r="AE1664" s="31"/>
      <c r="AF1664" s="31"/>
      <c r="AG1664" s="31"/>
    </row>
    <row r="1665" spans="1:33" s="32" customFormat="1" ht="15" customHeight="1">
      <c r="A1665" s="27">
        <v>43406</v>
      </c>
      <c r="B1665" s="15" t="s">
        <v>253</v>
      </c>
      <c r="C1665" s="15" t="s">
        <v>46</v>
      </c>
      <c r="D1665" s="15">
        <v>820</v>
      </c>
      <c r="E1665" s="28">
        <v>600</v>
      </c>
      <c r="F1665" s="15" t="s">
        <v>8</v>
      </c>
      <c r="G1665" s="45">
        <v>30.5</v>
      </c>
      <c r="H1665" s="15">
        <v>32.5</v>
      </c>
      <c r="I1665" s="45">
        <v>35.5</v>
      </c>
      <c r="J1665" s="54">
        <v>0</v>
      </c>
      <c r="K1665" s="1">
        <f t="shared" ref="K1665" si="2441">(IF(F1665="SELL",G1665-H1665,IF(F1665="BUY",H1665-G1665)))*E1665</f>
        <v>1200</v>
      </c>
      <c r="L1665" s="51">
        <f t="shared" ref="L1665" si="2442">(IF(F1665="SELL",IF(I1665="",0,H1665-I1665),IF(F1665="BUY",IF(I1665="",0,I1665-H1665))))*E1665</f>
        <v>1800</v>
      </c>
      <c r="M1665" s="51">
        <v>0</v>
      </c>
      <c r="N1665" s="1">
        <f t="shared" si="2396"/>
        <v>5</v>
      </c>
      <c r="O1665" s="1">
        <f t="shared" si="2407"/>
        <v>3000</v>
      </c>
      <c r="P1665" s="31"/>
      <c r="Q1665" s="31"/>
      <c r="R1665" s="31"/>
      <c r="S1665" s="31"/>
      <c r="T1665" s="31"/>
      <c r="U1665" s="31"/>
      <c r="V1665" s="31"/>
      <c r="W1665" s="31"/>
      <c r="X1665" s="31"/>
      <c r="Y1665" s="31"/>
      <c r="Z1665" s="31"/>
      <c r="AA1665" s="31"/>
      <c r="AB1665" s="31"/>
      <c r="AC1665" s="31"/>
      <c r="AD1665" s="31"/>
      <c r="AE1665" s="31"/>
      <c r="AF1665" s="31"/>
      <c r="AG1665" s="31"/>
    </row>
    <row r="1666" spans="1:33" s="32" customFormat="1" ht="15" customHeight="1">
      <c r="A1666" s="27">
        <v>43406</v>
      </c>
      <c r="B1666" s="15" t="s">
        <v>321</v>
      </c>
      <c r="C1666" s="15" t="s">
        <v>46</v>
      </c>
      <c r="D1666" s="15">
        <v>800</v>
      </c>
      <c r="E1666" s="28">
        <v>750</v>
      </c>
      <c r="F1666" s="15" t="s">
        <v>8</v>
      </c>
      <c r="G1666" s="45">
        <v>24</v>
      </c>
      <c r="H1666" s="15">
        <v>26</v>
      </c>
      <c r="I1666" s="45">
        <v>0</v>
      </c>
      <c r="J1666" s="54">
        <v>0</v>
      </c>
      <c r="K1666" s="1">
        <f t="shared" ref="K1666" si="2443">(IF(F1666="SELL",G1666-H1666,IF(F1666="BUY",H1666-G1666)))*E1666</f>
        <v>1500</v>
      </c>
      <c r="L1666" s="51">
        <v>0</v>
      </c>
      <c r="M1666" s="51">
        <v>0</v>
      </c>
      <c r="N1666" s="1">
        <f t="shared" si="2396"/>
        <v>2</v>
      </c>
      <c r="O1666" s="1">
        <f t="shared" si="2407"/>
        <v>1500</v>
      </c>
      <c r="P1666" s="31"/>
      <c r="Q1666" s="31"/>
      <c r="R1666" s="31"/>
      <c r="S1666" s="31"/>
      <c r="T1666" s="31"/>
      <c r="U1666" s="31"/>
      <c r="V1666" s="31"/>
      <c r="W1666" s="31"/>
      <c r="X1666" s="31"/>
      <c r="Y1666" s="31"/>
      <c r="Z1666" s="31"/>
      <c r="AA1666" s="31"/>
      <c r="AB1666" s="31"/>
      <c r="AC1666" s="31"/>
      <c r="AD1666" s="31"/>
      <c r="AE1666" s="31"/>
      <c r="AF1666" s="31"/>
      <c r="AG1666" s="31"/>
    </row>
    <row r="1667" spans="1:33" s="32" customFormat="1" ht="15" customHeight="1">
      <c r="A1667" s="27">
        <v>43406</v>
      </c>
      <c r="B1667" s="15" t="s">
        <v>139</v>
      </c>
      <c r="C1667" s="15" t="s">
        <v>46</v>
      </c>
      <c r="D1667" s="15">
        <v>1100</v>
      </c>
      <c r="E1667" s="28">
        <v>500</v>
      </c>
      <c r="F1667" s="15" t="s">
        <v>8</v>
      </c>
      <c r="G1667" s="45">
        <v>48</v>
      </c>
      <c r="H1667" s="15">
        <v>51</v>
      </c>
      <c r="I1667" s="45">
        <v>0</v>
      </c>
      <c r="J1667" s="54">
        <v>0</v>
      </c>
      <c r="K1667" s="1">
        <f t="shared" ref="K1667" si="2444">(IF(F1667="SELL",G1667-H1667,IF(F1667="BUY",H1667-G1667)))*E1667</f>
        <v>1500</v>
      </c>
      <c r="L1667" s="51">
        <v>0</v>
      </c>
      <c r="M1667" s="51">
        <v>0</v>
      </c>
      <c r="N1667" s="1">
        <f t="shared" si="2396"/>
        <v>3</v>
      </c>
      <c r="O1667" s="1">
        <f t="shared" si="2407"/>
        <v>1500</v>
      </c>
      <c r="P1667" s="31"/>
      <c r="Q1667" s="31"/>
      <c r="R1667" s="31"/>
      <c r="S1667" s="31"/>
      <c r="T1667" s="31"/>
      <c r="U1667" s="31"/>
      <c r="V1667" s="31"/>
      <c r="W1667" s="31"/>
      <c r="X1667" s="31"/>
      <c r="Y1667" s="31"/>
      <c r="Z1667" s="31"/>
      <c r="AA1667" s="31"/>
      <c r="AB1667" s="31"/>
      <c r="AC1667" s="31"/>
      <c r="AD1667" s="31"/>
      <c r="AE1667" s="31"/>
      <c r="AF1667" s="31"/>
      <c r="AG1667" s="31"/>
    </row>
    <row r="1668" spans="1:33" s="32" customFormat="1" ht="15" customHeight="1">
      <c r="A1668" s="27">
        <v>43406</v>
      </c>
      <c r="B1668" s="15" t="s">
        <v>331</v>
      </c>
      <c r="C1668" s="15" t="s">
        <v>47</v>
      </c>
      <c r="D1668" s="15">
        <v>570</v>
      </c>
      <c r="E1668" s="28">
        <v>750</v>
      </c>
      <c r="F1668" s="15" t="s">
        <v>8</v>
      </c>
      <c r="G1668" s="45">
        <v>17.5</v>
      </c>
      <c r="H1668" s="15">
        <v>19</v>
      </c>
      <c r="I1668" s="45">
        <v>0</v>
      </c>
      <c r="J1668" s="54">
        <v>0</v>
      </c>
      <c r="K1668" s="1">
        <f t="shared" ref="K1668" si="2445">(IF(F1668="SELL",G1668-H1668,IF(F1668="BUY",H1668-G1668)))*E1668</f>
        <v>1125</v>
      </c>
      <c r="L1668" s="51">
        <v>0</v>
      </c>
      <c r="M1668" s="51">
        <v>0</v>
      </c>
      <c r="N1668" s="1">
        <f t="shared" si="2396"/>
        <v>1.5</v>
      </c>
      <c r="O1668" s="1">
        <f t="shared" si="2407"/>
        <v>1125</v>
      </c>
      <c r="P1668" s="31"/>
      <c r="Q1668" s="31"/>
      <c r="R1668" s="31"/>
      <c r="S1668" s="31"/>
      <c r="T1668" s="31"/>
      <c r="U1668" s="31"/>
      <c r="V1668" s="31"/>
      <c r="W1668" s="31"/>
      <c r="X1668" s="31"/>
      <c r="Y1668" s="31"/>
      <c r="Z1668" s="31"/>
      <c r="AA1668" s="31"/>
      <c r="AB1668" s="31"/>
      <c r="AC1668" s="31"/>
      <c r="AD1668" s="31"/>
      <c r="AE1668" s="31"/>
      <c r="AF1668" s="31"/>
      <c r="AG1668" s="31"/>
    </row>
    <row r="1669" spans="1:33" s="32" customFormat="1" ht="15" customHeight="1">
      <c r="A1669" s="27">
        <v>43405</v>
      </c>
      <c r="B1669" s="15" t="s">
        <v>249</v>
      </c>
      <c r="C1669" s="15" t="s">
        <v>47</v>
      </c>
      <c r="D1669" s="15">
        <v>285</v>
      </c>
      <c r="E1669" s="28">
        <v>2750</v>
      </c>
      <c r="F1669" s="15" t="s">
        <v>8</v>
      </c>
      <c r="G1669" s="45">
        <v>10.65</v>
      </c>
      <c r="H1669" s="15">
        <v>11.65</v>
      </c>
      <c r="I1669" s="45">
        <v>0</v>
      </c>
      <c r="J1669" s="54">
        <v>0</v>
      </c>
      <c r="K1669" s="1">
        <f t="shared" ref="K1669" si="2446">(IF(F1669="SELL",G1669-H1669,IF(F1669="BUY",H1669-G1669)))*E1669</f>
        <v>2750</v>
      </c>
      <c r="L1669" s="51">
        <v>0</v>
      </c>
      <c r="M1669" s="51">
        <v>0</v>
      </c>
      <c r="N1669" s="1">
        <f t="shared" si="2396"/>
        <v>1</v>
      </c>
      <c r="O1669" s="1">
        <f t="shared" si="2407"/>
        <v>2750</v>
      </c>
      <c r="P1669" s="31"/>
      <c r="Q1669" s="31"/>
      <c r="R1669" s="31"/>
      <c r="S1669" s="31"/>
      <c r="T1669" s="31"/>
      <c r="U1669" s="31"/>
      <c r="V1669" s="31"/>
      <c r="W1669" s="31"/>
      <c r="X1669" s="31"/>
      <c r="Y1669" s="31"/>
      <c r="Z1669" s="31"/>
      <c r="AA1669" s="31"/>
      <c r="AB1669" s="31"/>
      <c r="AC1669" s="31"/>
      <c r="AD1669" s="31"/>
      <c r="AE1669" s="31"/>
      <c r="AF1669" s="31"/>
      <c r="AG1669" s="31"/>
    </row>
    <row r="1670" spans="1:33" s="14" customFormat="1">
      <c r="A1670" s="27">
        <v>43404</v>
      </c>
      <c r="B1670" s="15" t="s">
        <v>224</v>
      </c>
      <c r="C1670" s="15" t="s">
        <v>47</v>
      </c>
      <c r="D1670" s="15">
        <v>340</v>
      </c>
      <c r="E1670" s="28">
        <v>1500</v>
      </c>
      <c r="F1670" s="15" t="s">
        <v>8</v>
      </c>
      <c r="G1670" s="45">
        <v>17</v>
      </c>
      <c r="H1670" s="15">
        <v>19</v>
      </c>
      <c r="I1670" s="45">
        <v>0</v>
      </c>
      <c r="J1670" s="54">
        <v>0</v>
      </c>
      <c r="K1670" s="1">
        <f t="shared" ref="K1670" si="2447">(IF(F1670="SELL",G1670-H1670,IF(F1670="BUY",H1670-G1670)))*E1670</f>
        <v>3000</v>
      </c>
      <c r="L1670" s="51">
        <v>0</v>
      </c>
      <c r="M1670" s="51">
        <v>0</v>
      </c>
      <c r="N1670" s="1">
        <f t="shared" si="2396"/>
        <v>2</v>
      </c>
      <c r="O1670" s="1">
        <f t="shared" si="2407"/>
        <v>3000</v>
      </c>
      <c r="P1670" s="13"/>
      <c r="Q1670" s="13"/>
      <c r="R1670" s="13"/>
      <c r="S1670" s="13"/>
      <c r="T1670" s="13"/>
      <c r="U1670" s="13"/>
      <c r="V1670" s="13"/>
      <c r="W1670" s="13"/>
      <c r="X1670" s="13"/>
      <c r="Y1670" s="13"/>
      <c r="Z1670" s="13"/>
      <c r="AA1670" s="13"/>
      <c r="AB1670" s="13"/>
      <c r="AC1670" s="13"/>
      <c r="AD1670" s="13"/>
      <c r="AE1670" s="13"/>
      <c r="AF1670" s="13"/>
      <c r="AG1670" s="13"/>
    </row>
    <row r="1671" spans="1:33" s="14" customFormat="1">
      <c r="A1671" s="27">
        <v>43404</v>
      </c>
      <c r="B1671" s="15" t="s">
        <v>266</v>
      </c>
      <c r="C1671" s="15" t="s">
        <v>47</v>
      </c>
      <c r="D1671" s="15">
        <v>1040</v>
      </c>
      <c r="E1671" s="28">
        <v>400</v>
      </c>
      <c r="F1671" s="15" t="s">
        <v>8</v>
      </c>
      <c r="G1671" s="45">
        <v>37.049999999999997</v>
      </c>
      <c r="H1671" s="15">
        <v>40.049999999999997</v>
      </c>
      <c r="I1671" s="45">
        <v>0</v>
      </c>
      <c r="J1671" s="54">
        <v>0</v>
      </c>
      <c r="K1671" s="1">
        <f t="shared" ref="K1671" si="2448">(IF(F1671="SELL",G1671-H1671,IF(F1671="BUY",H1671-G1671)))*E1671</f>
        <v>1200</v>
      </c>
      <c r="L1671" s="51">
        <v>0</v>
      </c>
      <c r="M1671" s="51">
        <v>0</v>
      </c>
      <c r="N1671" s="1">
        <f t="shared" si="2396"/>
        <v>3</v>
      </c>
      <c r="O1671" s="1">
        <f t="shared" si="2407"/>
        <v>1200</v>
      </c>
      <c r="P1671" s="13"/>
      <c r="Q1671" s="13"/>
      <c r="R1671" s="13"/>
      <c r="S1671" s="13"/>
      <c r="T1671" s="13"/>
      <c r="U1671" s="13"/>
      <c r="V1671" s="13"/>
      <c r="W1671" s="13"/>
      <c r="X1671" s="13"/>
      <c r="Y1671" s="13"/>
      <c r="Z1671" s="13"/>
      <c r="AA1671" s="13"/>
      <c r="AB1671" s="13"/>
      <c r="AC1671" s="13"/>
      <c r="AD1671" s="13"/>
      <c r="AE1671" s="13"/>
      <c r="AF1671" s="13"/>
      <c r="AG1671" s="13"/>
    </row>
    <row r="1672" spans="1:33" s="14" customFormat="1">
      <c r="A1672" s="27">
        <v>43403</v>
      </c>
      <c r="B1672" s="15" t="s">
        <v>371</v>
      </c>
      <c r="C1672" s="15" t="s">
        <v>47</v>
      </c>
      <c r="D1672" s="15">
        <v>820</v>
      </c>
      <c r="E1672" s="28">
        <v>750</v>
      </c>
      <c r="F1672" s="15" t="s">
        <v>8</v>
      </c>
      <c r="G1672" s="45">
        <v>27.5</v>
      </c>
      <c r="H1672" s="15">
        <v>30.5</v>
      </c>
      <c r="I1672" s="45">
        <v>0</v>
      </c>
      <c r="J1672" s="54">
        <v>0</v>
      </c>
      <c r="K1672" s="1">
        <f t="shared" ref="K1672" si="2449">(IF(F1672="SELL",G1672-H1672,IF(F1672="BUY",H1672-G1672)))*E1672</f>
        <v>2250</v>
      </c>
      <c r="L1672" s="51">
        <v>0</v>
      </c>
      <c r="M1672" s="51">
        <v>0</v>
      </c>
      <c r="N1672" s="1">
        <f t="shared" si="2396"/>
        <v>3</v>
      </c>
      <c r="O1672" s="1">
        <f t="shared" si="2407"/>
        <v>2250</v>
      </c>
      <c r="P1672" s="13"/>
      <c r="Q1672" s="13"/>
      <c r="R1672" s="13"/>
      <c r="S1672" s="13"/>
      <c r="T1672" s="13"/>
      <c r="U1672" s="13"/>
      <c r="V1672" s="13"/>
      <c r="W1672" s="13"/>
      <c r="X1672" s="13"/>
      <c r="Y1672" s="13"/>
      <c r="Z1672" s="13"/>
      <c r="AA1672" s="13"/>
      <c r="AB1672" s="13"/>
      <c r="AC1672" s="13"/>
      <c r="AD1672" s="13"/>
      <c r="AE1672" s="13"/>
      <c r="AF1672" s="13"/>
      <c r="AG1672" s="13"/>
    </row>
    <row r="1673" spans="1:33" s="14" customFormat="1">
      <c r="A1673" s="27">
        <v>43403</v>
      </c>
      <c r="B1673" s="15" t="s">
        <v>131</v>
      </c>
      <c r="C1673" s="15" t="s">
        <v>47</v>
      </c>
      <c r="D1673" s="15">
        <v>195</v>
      </c>
      <c r="E1673" s="28">
        <v>2500</v>
      </c>
      <c r="F1673" s="15" t="s">
        <v>8</v>
      </c>
      <c r="G1673" s="45">
        <v>8.8000000000000007</v>
      </c>
      <c r="H1673" s="15">
        <v>7</v>
      </c>
      <c r="I1673" s="45">
        <v>0</v>
      </c>
      <c r="J1673" s="54">
        <v>0</v>
      </c>
      <c r="K1673" s="1">
        <f t="shared" ref="K1673" si="2450">(IF(F1673="SELL",G1673-H1673,IF(F1673="BUY",H1673-G1673)))*E1673</f>
        <v>-4500.0000000000018</v>
      </c>
      <c r="L1673" s="51">
        <v>0</v>
      </c>
      <c r="M1673" s="51">
        <v>0</v>
      </c>
      <c r="N1673" s="1">
        <f t="shared" si="2396"/>
        <v>-1.8000000000000007</v>
      </c>
      <c r="O1673" s="1">
        <f t="shared" si="2407"/>
        <v>-4500.0000000000018</v>
      </c>
      <c r="P1673" s="13"/>
      <c r="Q1673" s="13"/>
      <c r="R1673" s="13"/>
      <c r="S1673" s="13"/>
      <c r="T1673" s="13"/>
      <c r="U1673" s="13"/>
      <c r="V1673" s="13"/>
      <c r="W1673" s="13"/>
      <c r="X1673" s="13"/>
      <c r="Y1673" s="13"/>
      <c r="Z1673" s="13"/>
      <c r="AA1673" s="13"/>
      <c r="AB1673" s="13"/>
      <c r="AC1673" s="13"/>
      <c r="AD1673" s="13"/>
      <c r="AE1673" s="13"/>
      <c r="AF1673" s="13"/>
      <c r="AG1673" s="13"/>
    </row>
    <row r="1674" spans="1:33" s="14" customFormat="1">
      <c r="A1674" s="27">
        <v>43402</v>
      </c>
      <c r="B1674" s="15" t="s">
        <v>232</v>
      </c>
      <c r="C1674" s="15" t="s">
        <v>47</v>
      </c>
      <c r="D1674" s="15">
        <v>350</v>
      </c>
      <c r="E1674" s="28">
        <v>1300</v>
      </c>
      <c r="F1674" s="15" t="s">
        <v>8</v>
      </c>
      <c r="G1674" s="45">
        <v>22</v>
      </c>
      <c r="H1674" s="15">
        <v>24</v>
      </c>
      <c r="I1674" s="45">
        <v>0</v>
      </c>
      <c r="J1674" s="54">
        <v>0</v>
      </c>
      <c r="K1674" s="1">
        <f t="shared" ref="K1674" si="2451">(IF(F1674="SELL",G1674-H1674,IF(F1674="BUY",H1674-G1674)))*E1674</f>
        <v>2600</v>
      </c>
      <c r="L1674" s="51">
        <v>0</v>
      </c>
      <c r="M1674" s="51">
        <v>0</v>
      </c>
      <c r="N1674" s="1">
        <f t="shared" si="2396"/>
        <v>2</v>
      </c>
      <c r="O1674" s="1">
        <f t="shared" si="2407"/>
        <v>2600</v>
      </c>
      <c r="P1674" s="13"/>
      <c r="Q1674" s="13"/>
      <c r="R1674" s="13"/>
      <c r="S1674" s="13"/>
      <c r="T1674" s="13"/>
      <c r="U1674" s="13"/>
      <c r="V1674" s="13"/>
      <c r="W1674" s="13"/>
      <c r="X1674" s="13"/>
      <c r="Y1674" s="13"/>
      <c r="Z1674" s="13"/>
      <c r="AA1674" s="13"/>
      <c r="AB1674" s="13"/>
      <c r="AC1674" s="13"/>
      <c r="AD1674" s="13"/>
      <c r="AE1674" s="13"/>
      <c r="AF1674" s="13"/>
      <c r="AG1674" s="13"/>
    </row>
    <row r="1675" spans="1:33" s="14" customFormat="1">
      <c r="A1675" s="27">
        <v>43399</v>
      </c>
      <c r="B1675" s="15" t="s">
        <v>370</v>
      </c>
      <c r="C1675" s="15" t="s">
        <v>47</v>
      </c>
      <c r="D1675" s="15">
        <v>230</v>
      </c>
      <c r="E1675" s="28">
        <v>2000</v>
      </c>
      <c r="F1675" s="15" t="s">
        <v>8</v>
      </c>
      <c r="G1675" s="45">
        <v>15</v>
      </c>
      <c r="H1675" s="15">
        <v>16</v>
      </c>
      <c r="I1675" s="45">
        <v>0</v>
      </c>
      <c r="J1675" s="54">
        <v>0</v>
      </c>
      <c r="K1675" s="1">
        <f t="shared" ref="K1675" si="2452">(IF(F1675="SELL",G1675-H1675,IF(F1675="BUY",H1675-G1675)))*E1675</f>
        <v>2000</v>
      </c>
      <c r="L1675" s="51">
        <v>0</v>
      </c>
      <c r="M1675" s="51">
        <v>0</v>
      </c>
      <c r="N1675" s="1">
        <f t="shared" si="2396"/>
        <v>1</v>
      </c>
      <c r="O1675" s="1">
        <f t="shared" si="2407"/>
        <v>2000</v>
      </c>
      <c r="P1675" s="13"/>
      <c r="Q1675" s="13"/>
      <c r="R1675" s="13"/>
      <c r="S1675" s="13"/>
      <c r="T1675" s="13"/>
      <c r="U1675" s="13"/>
      <c r="V1675" s="13"/>
      <c r="W1675" s="13"/>
      <c r="X1675" s="13"/>
      <c r="Y1675" s="13"/>
      <c r="Z1675" s="13"/>
      <c r="AA1675" s="13"/>
      <c r="AB1675" s="13"/>
      <c r="AC1675" s="13"/>
      <c r="AD1675" s="13"/>
      <c r="AE1675" s="13"/>
      <c r="AF1675" s="13"/>
      <c r="AG1675" s="13"/>
    </row>
    <row r="1676" spans="1:33" s="14" customFormat="1">
      <c r="A1676" s="27">
        <v>43399</v>
      </c>
      <c r="B1676" s="15" t="s">
        <v>195</v>
      </c>
      <c r="C1676" s="15" t="s">
        <v>47</v>
      </c>
      <c r="D1676" s="15">
        <v>570</v>
      </c>
      <c r="E1676" s="28">
        <v>1061</v>
      </c>
      <c r="F1676" s="15" t="s">
        <v>8</v>
      </c>
      <c r="G1676" s="45">
        <v>20.5</v>
      </c>
      <c r="H1676" s="15">
        <v>22.1</v>
      </c>
      <c r="I1676" s="45">
        <v>0</v>
      </c>
      <c r="J1676" s="54">
        <v>0</v>
      </c>
      <c r="K1676" s="1">
        <f t="shared" ref="K1676" si="2453">(IF(F1676="SELL",G1676-H1676,IF(F1676="BUY",H1676-G1676)))*E1676</f>
        <v>1697.6000000000015</v>
      </c>
      <c r="L1676" s="51">
        <v>0</v>
      </c>
      <c r="M1676" s="51">
        <v>0</v>
      </c>
      <c r="N1676" s="1">
        <f t="shared" si="2396"/>
        <v>1.6000000000000014</v>
      </c>
      <c r="O1676" s="1">
        <f t="shared" si="2407"/>
        <v>1697.6000000000015</v>
      </c>
      <c r="P1676" s="13"/>
      <c r="Q1676" s="13"/>
      <c r="R1676" s="13"/>
      <c r="S1676" s="13"/>
      <c r="T1676" s="13"/>
      <c r="U1676" s="13"/>
      <c r="V1676" s="13"/>
      <c r="W1676" s="13"/>
      <c r="X1676" s="13"/>
      <c r="Y1676" s="13"/>
      <c r="Z1676" s="13"/>
      <c r="AA1676" s="13"/>
      <c r="AB1676" s="13"/>
      <c r="AC1676" s="13"/>
      <c r="AD1676" s="13"/>
      <c r="AE1676" s="13"/>
      <c r="AF1676" s="13"/>
      <c r="AG1676" s="13"/>
    </row>
    <row r="1677" spans="1:33" s="14" customFormat="1">
      <c r="A1677" s="27">
        <v>43398</v>
      </c>
      <c r="B1677" s="15" t="s">
        <v>28</v>
      </c>
      <c r="C1677" s="15" t="s">
        <v>46</v>
      </c>
      <c r="D1677" s="15">
        <v>300</v>
      </c>
      <c r="E1677" s="28">
        <v>1700</v>
      </c>
      <c r="F1677" s="15" t="s">
        <v>8</v>
      </c>
      <c r="G1677" s="45">
        <v>5.5</v>
      </c>
      <c r="H1677" s="15">
        <v>2.75</v>
      </c>
      <c r="I1677" s="45">
        <v>0</v>
      </c>
      <c r="J1677" s="54">
        <v>0</v>
      </c>
      <c r="K1677" s="1">
        <f t="shared" ref="K1677" si="2454">(IF(F1677="SELL",G1677-H1677,IF(F1677="BUY",H1677-G1677)))*E1677</f>
        <v>-4675</v>
      </c>
      <c r="L1677" s="51">
        <v>0</v>
      </c>
      <c r="M1677" s="51">
        <v>0</v>
      </c>
      <c r="N1677" s="1">
        <f t="shared" si="2396"/>
        <v>-2.75</v>
      </c>
      <c r="O1677" s="1">
        <f t="shared" si="2407"/>
        <v>-4675</v>
      </c>
      <c r="P1677" s="13"/>
      <c r="Q1677" s="13"/>
      <c r="R1677" s="13"/>
      <c r="S1677" s="13"/>
      <c r="T1677" s="13"/>
      <c r="U1677" s="13"/>
      <c r="V1677" s="13"/>
      <c r="W1677" s="13"/>
      <c r="X1677" s="13"/>
      <c r="Y1677" s="13"/>
      <c r="Z1677" s="13"/>
      <c r="AA1677" s="13"/>
      <c r="AB1677" s="13"/>
      <c r="AC1677" s="13"/>
      <c r="AD1677" s="13"/>
      <c r="AE1677" s="13"/>
      <c r="AF1677" s="13"/>
      <c r="AG1677" s="13"/>
    </row>
    <row r="1678" spans="1:33" s="14" customFormat="1">
      <c r="A1678" s="10">
        <v>43398</v>
      </c>
      <c r="B1678" s="3" t="s">
        <v>122</v>
      </c>
      <c r="C1678" s="15" t="s">
        <v>46</v>
      </c>
      <c r="D1678" s="15">
        <v>1720</v>
      </c>
      <c r="E1678" s="11">
        <v>500</v>
      </c>
      <c r="F1678" s="3" t="s">
        <v>8</v>
      </c>
      <c r="G1678" s="46">
        <v>15.5</v>
      </c>
      <c r="H1678" s="3">
        <v>18.5</v>
      </c>
      <c r="I1678" s="46">
        <v>21.5</v>
      </c>
      <c r="J1678" s="55">
        <v>24.5</v>
      </c>
      <c r="K1678" s="1">
        <f t="shared" ref="K1678" si="2455">(IF(F1678="SELL",G1678-H1678,IF(F1678="BUY",H1678-G1678)))*E1678</f>
        <v>1500</v>
      </c>
      <c r="L1678" s="51">
        <f t="shared" ref="L1678" si="2456">(IF(F1678="SELL",IF(I1678="",0,H1678-I1678),IF(F1678="BUY",IF(I1678="",0,I1678-H1678))))*E1678</f>
        <v>1500</v>
      </c>
      <c r="M1678" s="52">
        <v>1500</v>
      </c>
      <c r="N1678" s="2">
        <f t="shared" si="2396"/>
        <v>9</v>
      </c>
      <c r="O1678" s="2">
        <f t="shared" si="2407"/>
        <v>4500</v>
      </c>
      <c r="P1678" s="13"/>
      <c r="Q1678" s="13"/>
      <c r="R1678" s="13"/>
      <c r="S1678" s="13"/>
      <c r="T1678" s="13"/>
      <c r="U1678" s="13"/>
      <c r="V1678" s="13"/>
      <c r="W1678" s="13"/>
      <c r="X1678" s="13"/>
      <c r="Y1678" s="13"/>
      <c r="Z1678" s="13"/>
      <c r="AA1678" s="13"/>
      <c r="AB1678" s="13"/>
      <c r="AC1678" s="13"/>
      <c r="AD1678" s="13"/>
      <c r="AE1678" s="13"/>
      <c r="AF1678" s="13"/>
      <c r="AG1678" s="13"/>
    </row>
    <row r="1679" spans="1:33" s="14" customFormat="1">
      <c r="A1679" s="10">
        <v>43397</v>
      </c>
      <c r="B1679" s="3" t="s">
        <v>107</v>
      </c>
      <c r="C1679" s="15" t="s">
        <v>46</v>
      </c>
      <c r="D1679" s="15">
        <v>560</v>
      </c>
      <c r="E1679" s="11">
        <v>1100</v>
      </c>
      <c r="F1679" s="3" t="s">
        <v>8</v>
      </c>
      <c r="G1679" s="46">
        <v>3.75</v>
      </c>
      <c r="H1679" s="3">
        <v>5.25</v>
      </c>
      <c r="I1679" s="46">
        <v>0</v>
      </c>
      <c r="J1679" s="55">
        <v>0</v>
      </c>
      <c r="K1679" s="1">
        <f t="shared" ref="K1679" si="2457">(IF(F1679="SELL",G1679-H1679,IF(F1679="BUY",H1679-G1679)))*E1679</f>
        <v>1650</v>
      </c>
      <c r="L1679" s="51">
        <v>0</v>
      </c>
      <c r="M1679" s="52">
        <v>0</v>
      </c>
      <c r="N1679" s="2">
        <f t="shared" si="2396"/>
        <v>1.5</v>
      </c>
      <c r="O1679" s="2">
        <f t="shared" si="2407"/>
        <v>1650</v>
      </c>
      <c r="P1679" s="13"/>
      <c r="Q1679" s="13"/>
      <c r="R1679" s="13"/>
      <c r="S1679" s="13"/>
      <c r="T1679" s="13"/>
      <c r="U1679" s="13"/>
      <c r="V1679" s="13"/>
      <c r="W1679" s="13"/>
      <c r="X1679" s="13"/>
      <c r="Y1679" s="13"/>
      <c r="Z1679" s="13"/>
      <c r="AA1679" s="13"/>
      <c r="AB1679" s="13"/>
      <c r="AC1679" s="13"/>
      <c r="AD1679" s="13"/>
      <c r="AE1679" s="13"/>
      <c r="AF1679" s="13"/>
      <c r="AG1679" s="13"/>
    </row>
    <row r="1680" spans="1:33" s="14" customFormat="1">
      <c r="A1680" s="10">
        <v>43397</v>
      </c>
      <c r="B1680" s="3" t="s">
        <v>104</v>
      </c>
      <c r="C1680" s="15" t="s">
        <v>46</v>
      </c>
      <c r="D1680" s="15">
        <v>840</v>
      </c>
      <c r="E1680" s="11">
        <v>700</v>
      </c>
      <c r="F1680" s="3" t="s">
        <v>8</v>
      </c>
      <c r="G1680" s="46">
        <v>7.5</v>
      </c>
      <c r="H1680" s="3">
        <v>9.5</v>
      </c>
      <c r="I1680" s="46">
        <v>0</v>
      </c>
      <c r="J1680" s="55">
        <v>0</v>
      </c>
      <c r="K1680" s="1">
        <f t="shared" ref="K1680" si="2458">(IF(F1680="SELL",G1680-H1680,IF(F1680="BUY",H1680-G1680)))*E1680</f>
        <v>1400</v>
      </c>
      <c r="L1680" s="51">
        <v>0</v>
      </c>
      <c r="M1680" s="52">
        <v>0</v>
      </c>
      <c r="N1680" s="2">
        <f t="shared" si="2396"/>
        <v>2</v>
      </c>
      <c r="O1680" s="2">
        <f t="shared" si="2407"/>
        <v>1400</v>
      </c>
      <c r="P1680" s="13"/>
      <c r="Q1680" s="13"/>
      <c r="R1680" s="13"/>
      <c r="S1680" s="13"/>
      <c r="T1680" s="13"/>
      <c r="U1680" s="13"/>
      <c r="V1680" s="13"/>
      <c r="W1680" s="13"/>
      <c r="X1680" s="13"/>
      <c r="Y1680" s="13"/>
      <c r="Z1680" s="13"/>
      <c r="AA1680" s="13"/>
      <c r="AB1680" s="13"/>
      <c r="AC1680" s="13"/>
      <c r="AD1680" s="13"/>
      <c r="AE1680" s="13"/>
      <c r="AF1680" s="13"/>
      <c r="AG1680" s="13"/>
    </row>
    <row r="1681" spans="1:33" s="14" customFormat="1">
      <c r="A1681" s="10">
        <v>43396</v>
      </c>
      <c r="B1681" s="3" t="s">
        <v>369</v>
      </c>
      <c r="C1681" s="15" t="s">
        <v>46</v>
      </c>
      <c r="D1681" s="15">
        <v>210</v>
      </c>
      <c r="E1681" s="11">
        <v>2000</v>
      </c>
      <c r="F1681" s="3" t="s">
        <v>8</v>
      </c>
      <c r="G1681" s="46">
        <v>6.85</v>
      </c>
      <c r="H1681" s="3">
        <v>7.75</v>
      </c>
      <c r="I1681" s="46">
        <v>0</v>
      </c>
      <c r="J1681" s="55">
        <v>0</v>
      </c>
      <c r="K1681" s="1">
        <f t="shared" ref="K1681" si="2459">(IF(F1681="SELL",G1681-H1681,IF(F1681="BUY",H1681-G1681)))*E1681</f>
        <v>1800.0000000000007</v>
      </c>
      <c r="L1681" s="51">
        <v>0</v>
      </c>
      <c r="M1681" s="52">
        <v>0</v>
      </c>
      <c r="N1681" s="2">
        <f t="shared" si="2396"/>
        <v>0.90000000000000036</v>
      </c>
      <c r="O1681" s="2">
        <f t="shared" si="2407"/>
        <v>1800.0000000000007</v>
      </c>
      <c r="P1681" s="13"/>
      <c r="Q1681" s="13"/>
      <c r="R1681" s="13"/>
      <c r="S1681" s="13"/>
      <c r="T1681" s="13"/>
      <c r="U1681" s="13"/>
      <c r="V1681" s="13"/>
      <c r="W1681" s="13"/>
      <c r="X1681" s="13"/>
      <c r="Y1681" s="13"/>
      <c r="Z1681" s="13"/>
      <c r="AA1681" s="13"/>
      <c r="AB1681" s="13"/>
      <c r="AC1681" s="13"/>
      <c r="AD1681" s="13"/>
      <c r="AE1681" s="13"/>
      <c r="AF1681" s="13"/>
      <c r="AG1681" s="13"/>
    </row>
    <row r="1682" spans="1:33" s="14" customFormat="1">
      <c r="A1682" s="10">
        <v>43396</v>
      </c>
      <c r="B1682" s="3" t="s">
        <v>107</v>
      </c>
      <c r="C1682" s="15" t="s">
        <v>46</v>
      </c>
      <c r="D1682" s="15">
        <v>600</v>
      </c>
      <c r="E1682" s="11">
        <v>1100</v>
      </c>
      <c r="F1682" s="3" t="s">
        <v>8</v>
      </c>
      <c r="G1682" s="46">
        <v>8.5500000000000007</v>
      </c>
      <c r="H1682" s="3">
        <v>10</v>
      </c>
      <c r="I1682" s="46">
        <v>12</v>
      </c>
      <c r="J1682" s="55">
        <v>14</v>
      </c>
      <c r="K1682" s="1">
        <f t="shared" ref="K1682" si="2460">(IF(F1682="SELL",G1682-H1682,IF(F1682="BUY",H1682-G1682)))*E1682</f>
        <v>1594.9999999999993</v>
      </c>
      <c r="L1682" s="51">
        <f t="shared" ref="L1682" si="2461">(IF(F1682="SELL",IF(I1682="",0,H1682-I1682),IF(F1682="BUY",IF(I1682="",0,I1682-H1682))))*E1682</f>
        <v>2200</v>
      </c>
      <c r="M1682" s="52">
        <v>2200</v>
      </c>
      <c r="N1682" s="2">
        <f t="shared" si="2396"/>
        <v>5.4499999999999993</v>
      </c>
      <c r="O1682" s="2">
        <f t="shared" si="2407"/>
        <v>5994.9999999999991</v>
      </c>
      <c r="P1682" s="13"/>
      <c r="Q1682" s="13"/>
      <c r="R1682" s="13"/>
      <c r="S1682" s="13"/>
      <c r="T1682" s="13"/>
      <c r="U1682" s="13"/>
      <c r="V1682" s="13"/>
      <c r="W1682" s="13"/>
      <c r="X1682" s="13"/>
      <c r="Y1682" s="13"/>
      <c r="Z1682" s="13"/>
      <c r="AA1682" s="13"/>
      <c r="AB1682" s="13"/>
      <c r="AC1682" s="13"/>
      <c r="AD1682" s="13"/>
      <c r="AE1682" s="13"/>
      <c r="AF1682" s="13"/>
      <c r="AG1682" s="13"/>
    </row>
    <row r="1683" spans="1:33" s="14" customFormat="1">
      <c r="A1683" s="10">
        <v>43395</v>
      </c>
      <c r="B1683" s="3" t="s">
        <v>26</v>
      </c>
      <c r="C1683" s="15" t="s">
        <v>46</v>
      </c>
      <c r="D1683" s="15">
        <v>540</v>
      </c>
      <c r="E1683" s="11">
        <v>1061</v>
      </c>
      <c r="F1683" s="3" t="s">
        <v>8</v>
      </c>
      <c r="G1683" s="46">
        <v>9.75</v>
      </c>
      <c r="H1683" s="3">
        <v>11.3</v>
      </c>
      <c r="I1683" s="46">
        <v>0</v>
      </c>
      <c r="J1683" s="55">
        <v>0</v>
      </c>
      <c r="K1683" s="1">
        <f t="shared" ref="K1683" si="2462">(IF(F1683="SELL",G1683-H1683,IF(F1683="BUY",H1683-G1683)))*E1683</f>
        <v>1644.5500000000009</v>
      </c>
      <c r="L1683" s="51">
        <v>0</v>
      </c>
      <c r="M1683" s="52">
        <v>0</v>
      </c>
      <c r="N1683" s="2">
        <f t="shared" si="2396"/>
        <v>1.5500000000000007</v>
      </c>
      <c r="O1683" s="2">
        <f t="shared" si="2407"/>
        <v>1644.5500000000009</v>
      </c>
      <c r="P1683" s="13"/>
      <c r="Q1683" s="13"/>
      <c r="R1683" s="13"/>
      <c r="S1683" s="13"/>
      <c r="T1683" s="13"/>
      <c r="U1683" s="13"/>
      <c r="V1683" s="13"/>
      <c r="W1683" s="13"/>
      <c r="X1683" s="13"/>
      <c r="Y1683" s="13"/>
      <c r="Z1683" s="13"/>
      <c r="AA1683" s="13"/>
      <c r="AB1683" s="13"/>
      <c r="AC1683" s="13"/>
      <c r="AD1683" s="13"/>
      <c r="AE1683" s="13"/>
      <c r="AF1683" s="13"/>
      <c r="AG1683" s="13"/>
    </row>
    <row r="1684" spans="1:33" s="14" customFormat="1">
      <c r="A1684" s="10">
        <v>43395</v>
      </c>
      <c r="B1684" s="3" t="s">
        <v>181</v>
      </c>
      <c r="C1684" s="15" t="s">
        <v>47</v>
      </c>
      <c r="D1684" s="15">
        <v>700</v>
      </c>
      <c r="E1684" s="11">
        <v>500</v>
      </c>
      <c r="F1684" s="3" t="s">
        <v>8</v>
      </c>
      <c r="G1684" s="46">
        <v>32.75</v>
      </c>
      <c r="H1684" s="3">
        <v>35.75</v>
      </c>
      <c r="I1684" s="46">
        <v>38.75</v>
      </c>
      <c r="J1684" s="55">
        <v>41.75</v>
      </c>
      <c r="K1684" s="1">
        <f t="shared" ref="K1684" si="2463">(IF(F1684="SELL",G1684-H1684,IF(F1684="BUY",H1684-G1684)))*E1684</f>
        <v>1500</v>
      </c>
      <c r="L1684" s="51">
        <f t="shared" ref="L1684" si="2464">(IF(F1684="SELL",IF(I1684="",0,H1684-I1684),IF(F1684="BUY",IF(I1684="",0,I1684-H1684))))*E1684</f>
        <v>1500</v>
      </c>
      <c r="M1684" s="52">
        <v>1500</v>
      </c>
      <c r="N1684" s="2">
        <f t="shared" si="2396"/>
        <v>9</v>
      </c>
      <c r="O1684" s="2">
        <f t="shared" si="2407"/>
        <v>4500</v>
      </c>
      <c r="P1684" s="13"/>
      <c r="Q1684" s="13"/>
      <c r="R1684" s="13"/>
      <c r="S1684" s="13"/>
      <c r="T1684" s="13"/>
      <c r="U1684" s="13"/>
      <c r="V1684" s="13"/>
      <c r="W1684" s="13"/>
      <c r="X1684" s="13"/>
      <c r="Y1684" s="13"/>
      <c r="Z1684" s="13"/>
      <c r="AA1684" s="13"/>
      <c r="AB1684" s="13"/>
      <c r="AC1684" s="13"/>
      <c r="AD1684" s="13"/>
      <c r="AE1684" s="13"/>
      <c r="AF1684" s="13"/>
      <c r="AG1684" s="13"/>
    </row>
    <row r="1685" spans="1:33" s="14" customFormat="1">
      <c r="A1685" s="10">
        <v>43392</v>
      </c>
      <c r="B1685" s="3" t="s">
        <v>157</v>
      </c>
      <c r="C1685" s="15" t="s">
        <v>46</v>
      </c>
      <c r="D1685" s="15">
        <v>780</v>
      </c>
      <c r="E1685" s="11">
        <v>700</v>
      </c>
      <c r="F1685" s="3" t="s">
        <v>8</v>
      </c>
      <c r="G1685" s="46">
        <v>14.5</v>
      </c>
      <c r="H1685" s="3">
        <v>16.75</v>
      </c>
      <c r="I1685" s="46">
        <v>0</v>
      </c>
      <c r="J1685" s="55">
        <v>0</v>
      </c>
      <c r="K1685" s="1">
        <f t="shared" ref="K1685" si="2465">(IF(F1685="SELL",G1685-H1685,IF(F1685="BUY",H1685-G1685)))*E1685</f>
        <v>1575</v>
      </c>
      <c r="L1685" s="51">
        <v>0</v>
      </c>
      <c r="M1685" s="52">
        <v>0</v>
      </c>
      <c r="N1685" s="2">
        <f t="shared" ref="N1685:N1748" si="2466">(L1685+K1685+M1685)/E1685</f>
        <v>2.25</v>
      </c>
      <c r="O1685" s="2">
        <f t="shared" si="2407"/>
        <v>1575</v>
      </c>
      <c r="P1685" s="13"/>
      <c r="Q1685" s="13"/>
      <c r="R1685" s="13"/>
      <c r="S1685" s="13"/>
      <c r="T1685" s="13"/>
      <c r="U1685" s="13"/>
      <c r="V1685" s="13"/>
      <c r="W1685" s="13"/>
      <c r="X1685" s="13"/>
      <c r="Y1685" s="13"/>
      <c r="Z1685" s="13"/>
      <c r="AA1685" s="13"/>
      <c r="AB1685" s="13"/>
      <c r="AC1685" s="13"/>
      <c r="AD1685" s="13"/>
      <c r="AE1685" s="13"/>
      <c r="AF1685" s="13"/>
      <c r="AG1685" s="13"/>
    </row>
    <row r="1686" spans="1:33" s="14" customFormat="1">
      <c r="A1686" s="10">
        <v>43392</v>
      </c>
      <c r="B1686" s="3" t="s">
        <v>332</v>
      </c>
      <c r="C1686" s="15" t="s">
        <v>46</v>
      </c>
      <c r="D1686" s="15">
        <v>700</v>
      </c>
      <c r="E1686" s="11">
        <v>1200</v>
      </c>
      <c r="F1686" s="3" t="s">
        <v>8</v>
      </c>
      <c r="G1686" s="46">
        <v>15.5</v>
      </c>
      <c r="H1686" s="3">
        <v>17</v>
      </c>
      <c r="I1686" s="46">
        <v>0</v>
      </c>
      <c r="J1686" s="55">
        <v>0</v>
      </c>
      <c r="K1686" s="1">
        <f t="shared" ref="K1686" si="2467">(IF(F1686="SELL",G1686-H1686,IF(F1686="BUY",H1686-G1686)))*E1686</f>
        <v>1800</v>
      </c>
      <c r="L1686" s="51">
        <v>0</v>
      </c>
      <c r="M1686" s="52">
        <v>0</v>
      </c>
      <c r="N1686" s="2">
        <f t="shared" si="2466"/>
        <v>1.5</v>
      </c>
      <c r="O1686" s="2">
        <f t="shared" si="2407"/>
        <v>1800</v>
      </c>
      <c r="P1686" s="13"/>
      <c r="Q1686" s="13"/>
      <c r="R1686" s="13"/>
      <c r="S1686" s="13"/>
      <c r="T1686" s="13"/>
      <c r="U1686" s="13"/>
      <c r="V1686" s="13"/>
      <c r="W1686" s="13"/>
      <c r="X1686" s="13"/>
      <c r="Y1686" s="13"/>
      <c r="Z1686" s="13"/>
      <c r="AA1686" s="13"/>
      <c r="AB1686" s="13"/>
      <c r="AC1686" s="13"/>
      <c r="AD1686" s="13"/>
      <c r="AE1686" s="13"/>
      <c r="AF1686" s="13"/>
      <c r="AG1686" s="13"/>
    </row>
    <row r="1687" spans="1:33" s="14" customFormat="1">
      <c r="A1687" s="10">
        <v>43390</v>
      </c>
      <c r="B1687" s="3" t="s">
        <v>10</v>
      </c>
      <c r="C1687" s="15" t="s">
        <v>46</v>
      </c>
      <c r="D1687" s="15">
        <v>590</v>
      </c>
      <c r="E1687" s="11">
        <v>1000</v>
      </c>
      <c r="F1687" s="3" t="s">
        <v>8</v>
      </c>
      <c r="G1687" s="46">
        <v>18.25</v>
      </c>
      <c r="H1687" s="3">
        <v>20</v>
      </c>
      <c r="I1687" s="46">
        <v>22</v>
      </c>
      <c r="J1687" s="55">
        <v>24</v>
      </c>
      <c r="K1687" s="1">
        <f t="shared" ref="K1687" si="2468">(IF(F1687="SELL",G1687-H1687,IF(F1687="BUY",H1687-G1687)))*E1687</f>
        <v>1750</v>
      </c>
      <c r="L1687" s="51">
        <f t="shared" ref="L1687" si="2469">(IF(F1687="SELL",IF(I1687="",0,H1687-I1687),IF(F1687="BUY",IF(I1687="",0,I1687-H1687))))*E1687</f>
        <v>2000</v>
      </c>
      <c r="M1687" s="52">
        <v>2000</v>
      </c>
      <c r="N1687" s="2">
        <f t="shared" si="2466"/>
        <v>5.75</v>
      </c>
      <c r="O1687" s="2">
        <f t="shared" si="2407"/>
        <v>5750</v>
      </c>
      <c r="P1687" s="13"/>
      <c r="Q1687" s="13"/>
      <c r="R1687" s="13"/>
      <c r="S1687" s="13"/>
      <c r="T1687" s="13"/>
      <c r="U1687" s="13"/>
      <c r="V1687" s="13"/>
      <c r="W1687" s="13"/>
      <c r="X1687" s="13"/>
      <c r="Y1687" s="13"/>
      <c r="Z1687" s="13"/>
      <c r="AA1687" s="13"/>
      <c r="AB1687" s="13"/>
      <c r="AC1687" s="13"/>
      <c r="AD1687" s="13"/>
      <c r="AE1687" s="13"/>
      <c r="AF1687" s="13"/>
      <c r="AG1687" s="13"/>
    </row>
    <row r="1688" spans="1:33" s="14" customFormat="1">
      <c r="A1688" s="10">
        <v>43390</v>
      </c>
      <c r="B1688" s="3" t="s">
        <v>17</v>
      </c>
      <c r="C1688" s="15" t="s">
        <v>46</v>
      </c>
      <c r="D1688" s="15">
        <v>580</v>
      </c>
      <c r="E1688" s="11">
        <v>1200</v>
      </c>
      <c r="F1688" s="3" t="s">
        <v>8</v>
      </c>
      <c r="G1688" s="46">
        <v>11.75</v>
      </c>
      <c r="H1688" s="3">
        <v>13</v>
      </c>
      <c r="I1688" s="46">
        <v>14.5</v>
      </c>
      <c r="J1688" s="55">
        <v>16</v>
      </c>
      <c r="K1688" s="1">
        <f t="shared" ref="K1688" si="2470">(IF(F1688="SELL",G1688-H1688,IF(F1688="BUY",H1688-G1688)))*E1688</f>
        <v>1500</v>
      </c>
      <c r="L1688" s="51">
        <v>1800</v>
      </c>
      <c r="M1688" s="52">
        <v>1800</v>
      </c>
      <c r="N1688" s="2">
        <f t="shared" si="2466"/>
        <v>4.25</v>
      </c>
      <c r="O1688" s="2">
        <f t="shared" si="2407"/>
        <v>5100</v>
      </c>
      <c r="P1688" s="13"/>
      <c r="Q1688" s="13"/>
      <c r="R1688" s="13"/>
      <c r="S1688" s="13"/>
      <c r="T1688" s="13"/>
      <c r="U1688" s="13"/>
      <c r="V1688" s="13"/>
      <c r="W1688" s="13"/>
      <c r="X1688" s="13"/>
      <c r="Y1688" s="13"/>
      <c r="Z1688" s="13"/>
      <c r="AA1688" s="13"/>
      <c r="AB1688" s="13"/>
      <c r="AC1688" s="13"/>
      <c r="AD1688" s="13"/>
      <c r="AE1688" s="13"/>
      <c r="AF1688" s="13"/>
      <c r="AG1688" s="13"/>
    </row>
    <row r="1689" spans="1:33" s="14" customFormat="1">
      <c r="A1689" s="10">
        <v>43389</v>
      </c>
      <c r="B1689" s="3" t="s">
        <v>26</v>
      </c>
      <c r="C1689" s="15" t="s">
        <v>47</v>
      </c>
      <c r="D1689" s="15">
        <v>580</v>
      </c>
      <c r="E1689" s="11">
        <v>1061</v>
      </c>
      <c r="F1689" s="3" t="s">
        <v>8</v>
      </c>
      <c r="G1689" s="46">
        <v>16.45</v>
      </c>
      <c r="H1689" s="3">
        <v>17.649999999999999</v>
      </c>
      <c r="I1689" s="46">
        <v>0</v>
      </c>
      <c r="J1689" s="55">
        <v>0</v>
      </c>
      <c r="K1689" s="1">
        <f t="shared" ref="K1689" si="2471">(IF(F1689="SELL",G1689-H1689,IF(F1689="BUY",H1689-G1689)))*E1689</f>
        <v>1273.1999999999991</v>
      </c>
      <c r="L1689" s="51">
        <v>0</v>
      </c>
      <c r="M1689" s="52">
        <v>0</v>
      </c>
      <c r="N1689" s="2">
        <f t="shared" si="2466"/>
        <v>1.1999999999999993</v>
      </c>
      <c r="O1689" s="2">
        <f t="shared" si="2407"/>
        <v>1273.1999999999991</v>
      </c>
      <c r="P1689" s="13"/>
      <c r="Q1689" s="13"/>
      <c r="R1689" s="13"/>
      <c r="S1689" s="13"/>
      <c r="T1689" s="13"/>
      <c r="U1689" s="13"/>
      <c r="V1689" s="13"/>
      <c r="W1689" s="13"/>
      <c r="X1689" s="13"/>
      <c r="Y1689" s="13"/>
      <c r="Z1689" s="13"/>
      <c r="AA1689" s="13"/>
      <c r="AB1689" s="13"/>
      <c r="AC1689" s="13"/>
      <c r="AD1689" s="13"/>
      <c r="AE1689" s="13"/>
      <c r="AF1689" s="13"/>
      <c r="AG1689" s="13"/>
    </row>
    <row r="1690" spans="1:33" s="14" customFormat="1">
      <c r="A1690" s="10">
        <v>43389</v>
      </c>
      <c r="B1690" s="3" t="s">
        <v>26</v>
      </c>
      <c r="C1690" s="15" t="s">
        <v>47</v>
      </c>
      <c r="D1690" s="15">
        <v>580</v>
      </c>
      <c r="E1690" s="11">
        <v>1061</v>
      </c>
      <c r="F1690" s="3" t="s">
        <v>8</v>
      </c>
      <c r="G1690" s="46">
        <v>16.45</v>
      </c>
      <c r="H1690" s="3">
        <v>17.649999999999999</v>
      </c>
      <c r="I1690" s="46">
        <v>0</v>
      </c>
      <c r="J1690" s="55">
        <v>0</v>
      </c>
      <c r="K1690" s="1">
        <f t="shared" ref="K1690" si="2472">(IF(F1690="SELL",G1690-H1690,IF(F1690="BUY",H1690-G1690)))*E1690</f>
        <v>1273.1999999999991</v>
      </c>
      <c r="L1690" s="51">
        <v>0</v>
      </c>
      <c r="M1690" s="52">
        <v>0</v>
      </c>
      <c r="N1690" s="2">
        <f t="shared" si="2466"/>
        <v>1.1999999999999993</v>
      </c>
      <c r="O1690" s="2">
        <f t="shared" si="2407"/>
        <v>1273.1999999999991</v>
      </c>
      <c r="P1690" s="13"/>
      <c r="Q1690" s="13"/>
      <c r="R1690" s="13"/>
      <c r="S1690" s="13"/>
      <c r="T1690" s="13"/>
      <c r="U1690" s="13"/>
      <c r="V1690" s="13"/>
      <c r="W1690" s="13"/>
      <c r="X1690" s="13"/>
      <c r="Y1690" s="13"/>
      <c r="Z1690" s="13"/>
      <c r="AA1690" s="13"/>
      <c r="AB1690" s="13"/>
      <c r="AC1690" s="13"/>
      <c r="AD1690" s="13"/>
      <c r="AE1690" s="13"/>
      <c r="AF1690" s="13"/>
      <c r="AG1690" s="13"/>
    </row>
    <row r="1691" spans="1:33" s="14" customFormat="1">
      <c r="A1691" s="10">
        <v>43389</v>
      </c>
      <c r="B1691" s="3" t="s">
        <v>107</v>
      </c>
      <c r="C1691" s="15" t="s">
        <v>47</v>
      </c>
      <c r="D1691" s="15">
        <v>600</v>
      </c>
      <c r="E1691" s="11">
        <v>1100</v>
      </c>
      <c r="F1691" s="3" t="s">
        <v>8</v>
      </c>
      <c r="G1691" s="46">
        <v>19</v>
      </c>
      <c r="H1691" s="3">
        <v>16</v>
      </c>
      <c r="I1691" s="46">
        <v>0</v>
      </c>
      <c r="J1691" s="55">
        <v>0</v>
      </c>
      <c r="K1691" s="1">
        <f t="shared" ref="K1691" si="2473">(IF(F1691="SELL",G1691-H1691,IF(F1691="BUY",H1691-G1691)))*E1691</f>
        <v>-3300</v>
      </c>
      <c r="L1691" s="51">
        <v>0</v>
      </c>
      <c r="M1691" s="52">
        <v>0</v>
      </c>
      <c r="N1691" s="2">
        <f t="shared" si="2466"/>
        <v>-3</v>
      </c>
      <c r="O1691" s="2">
        <f t="shared" si="2407"/>
        <v>-3300</v>
      </c>
      <c r="P1691" s="13"/>
      <c r="Q1691" s="13"/>
      <c r="R1691" s="13"/>
      <c r="S1691" s="13"/>
      <c r="T1691" s="13"/>
      <c r="U1691" s="13"/>
      <c r="V1691" s="13"/>
      <c r="W1691" s="13"/>
      <c r="X1691" s="13"/>
      <c r="Y1691" s="13"/>
      <c r="Z1691" s="13"/>
      <c r="AA1691" s="13"/>
      <c r="AB1691" s="13"/>
      <c r="AC1691" s="13"/>
      <c r="AD1691" s="13"/>
      <c r="AE1691" s="13"/>
      <c r="AF1691" s="13"/>
      <c r="AG1691" s="13"/>
    </row>
    <row r="1692" spans="1:33" s="14" customFormat="1">
      <c r="A1692" s="10">
        <v>43385</v>
      </c>
      <c r="B1692" s="3" t="s">
        <v>17</v>
      </c>
      <c r="C1692" s="15" t="s">
        <v>47</v>
      </c>
      <c r="D1692" s="15">
        <v>580</v>
      </c>
      <c r="E1692" s="11">
        <v>1200</v>
      </c>
      <c r="F1692" s="3" t="s">
        <v>8</v>
      </c>
      <c r="G1692" s="46">
        <v>21.25</v>
      </c>
      <c r="H1692" s="3">
        <v>22.75</v>
      </c>
      <c r="I1692" s="46">
        <v>24</v>
      </c>
      <c r="J1692" s="55">
        <v>0</v>
      </c>
      <c r="K1692" s="1">
        <f t="shared" ref="K1692" si="2474">(IF(F1692="SELL",G1692-H1692,IF(F1692="BUY",H1692-G1692)))*E1692</f>
        <v>1800</v>
      </c>
      <c r="L1692" s="51">
        <f t="shared" ref="L1692:L1693" si="2475">(IF(F1692="SELL",IF(I1692="",0,H1692-I1692),IF(F1692="BUY",IF(I1692="",0,I1692-H1692))))*E1692</f>
        <v>1500</v>
      </c>
      <c r="M1692" s="52">
        <v>0</v>
      </c>
      <c r="N1692" s="2">
        <f t="shared" si="2466"/>
        <v>2.75</v>
      </c>
      <c r="O1692" s="2">
        <f t="shared" si="2407"/>
        <v>3300</v>
      </c>
      <c r="P1692" s="13"/>
      <c r="Q1692" s="13"/>
      <c r="R1692" s="13"/>
      <c r="S1692" s="13"/>
      <c r="T1692" s="13"/>
      <c r="U1692" s="13"/>
      <c r="V1692" s="13"/>
      <c r="W1692" s="13"/>
      <c r="X1692" s="13"/>
      <c r="Y1692" s="13"/>
      <c r="Z1692" s="13"/>
      <c r="AA1692" s="13"/>
      <c r="AB1692" s="13"/>
      <c r="AC1692" s="13"/>
      <c r="AD1692" s="13"/>
      <c r="AE1692" s="13"/>
      <c r="AF1692" s="13"/>
      <c r="AG1692" s="13"/>
    </row>
    <row r="1693" spans="1:33" s="14" customFormat="1">
      <c r="A1693" s="10">
        <v>43385</v>
      </c>
      <c r="B1693" s="3" t="s">
        <v>189</v>
      </c>
      <c r="C1693" s="15" t="s">
        <v>47</v>
      </c>
      <c r="D1693" s="15">
        <v>260</v>
      </c>
      <c r="E1693" s="11">
        <v>1500</v>
      </c>
      <c r="F1693" s="3" t="s">
        <v>8</v>
      </c>
      <c r="G1693" s="46">
        <v>14.15</v>
      </c>
      <c r="H1693" s="3">
        <v>15.5</v>
      </c>
      <c r="I1693" s="46">
        <v>17</v>
      </c>
      <c r="J1693" s="55">
        <v>19</v>
      </c>
      <c r="K1693" s="1">
        <f t="shared" ref="K1693" si="2476">(IF(F1693="SELL",G1693-H1693,IF(F1693="BUY",H1693-G1693)))*E1693</f>
        <v>2024.9999999999995</v>
      </c>
      <c r="L1693" s="51">
        <f t="shared" si="2475"/>
        <v>2250</v>
      </c>
      <c r="M1693" s="52">
        <v>3000</v>
      </c>
      <c r="N1693" s="2">
        <f t="shared" si="2466"/>
        <v>4.8499999999999996</v>
      </c>
      <c r="O1693" s="2">
        <f t="shared" si="2407"/>
        <v>7274.9999999999991</v>
      </c>
      <c r="P1693" s="13"/>
      <c r="Q1693" s="13"/>
      <c r="R1693" s="13"/>
      <c r="S1693" s="13"/>
      <c r="T1693" s="13"/>
      <c r="U1693" s="13"/>
      <c r="V1693" s="13"/>
      <c r="W1693" s="13"/>
      <c r="X1693" s="13"/>
      <c r="Y1693" s="13"/>
      <c r="Z1693" s="13"/>
      <c r="AA1693" s="13"/>
      <c r="AB1693" s="13"/>
      <c r="AC1693" s="13"/>
      <c r="AD1693" s="13"/>
      <c r="AE1693" s="13"/>
      <c r="AF1693" s="13"/>
      <c r="AG1693" s="13"/>
    </row>
    <row r="1694" spans="1:33" s="14" customFormat="1">
      <c r="A1694" s="10">
        <v>43384</v>
      </c>
      <c r="B1694" s="3" t="s">
        <v>157</v>
      </c>
      <c r="C1694" s="15" t="s">
        <v>46</v>
      </c>
      <c r="D1694" s="15">
        <v>760</v>
      </c>
      <c r="E1694" s="11">
        <v>700</v>
      </c>
      <c r="F1694" s="3" t="s">
        <v>8</v>
      </c>
      <c r="G1694" s="46">
        <v>25.75</v>
      </c>
      <c r="H1694" s="3">
        <v>27.25</v>
      </c>
      <c r="I1694" s="46">
        <v>0</v>
      </c>
      <c r="J1694" s="55">
        <v>0</v>
      </c>
      <c r="K1694" s="1">
        <f t="shared" ref="K1694" si="2477">(IF(F1694="SELL",G1694-H1694,IF(F1694="BUY",H1694-G1694)))*E1694</f>
        <v>1050</v>
      </c>
      <c r="L1694" s="51">
        <v>0</v>
      </c>
      <c r="M1694" s="52">
        <v>0</v>
      </c>
      <c r="N1694" s="2">
        <f t="shared" si="2466"/>
        <v>1.5</v>
      </c>
      <c r="O1694" s="2">
        <f t="shared" si="2407"/>
        <v>1050</v>
      </c>
      <c r="P1694" s="13"/>
      <c r="Q1694" s="13"/>
      <c r="R1694" s="13"/>
      <c r="S1694" s="13"/>
      <c r="T1694" s="13"/>
      <c r="U1694" s="13"/>
      <c r="V1694" s="13"/>
      <c r="W1694" s="13"/>
      <c r="X1694" s="13"/>
      <c r="Y1694" s="13"/>
      <c r="Z1694" s="13"/>
      <c r="AA1694" s="13"/>
      <c r="AB1694" s="13"/>
      <c r="AC1694" s="13"/>
      <c r="AD1694" s="13"/>
      <c r="AE1694" s="13"/>
      <c r="AF1694" s="13"/>
      <c r="AG1694" s="13"/>
    </row>
    <row r="1695" spans="1:33" s="14" customFormat="1">
      <c r="A1695" s="10">
        <v>43383</v>
      </c>
      <c r="B1695" s="3" t="s">
        <v>368</v>
      </c>
      <c r="C1695" s="15" t="s">
        <v>47</v>
      </c>
      <c r="D1695" s="15">
        <v>460</v>
      </c>
      <c r="E1695" s="11">
        <v>1300</v>
      </c>
      <c r="F1695" s="3" t="s">
        <v>8</v>
      </c>
      <c r="G1695" s="46">
        <v>14.25</v>
      </c>
      <c r="H1695" s="3">
        <v>15.5</v>
      </c>
      <c r="I1695" s="46">
        <v>17</v>
      </c>
      <c r="J1695" s="55">
        <v>18.95</v>
      </c>
      <c r="K1695" s="1">
        <f t="shared" ref="K1695" si="2478">(IF(F1695="SELL",G1695-H1695,IF(F1695="BUY",H1695-G1695)))*E1695</f>
        <v>1625</v>
      </c>
      <c r="L1695" s="51">
        <f t="shared" ref="L1695" si="2479">(IF(F1695="SELL",IF(I1695="",0,H1695-I1695),IF(F1695="BUY",IF(I1695="",0,I1695-H1695))))*E1695</f>
        <v>1950</v>
      </c>
      <c r="M1695" s="52">
        <v>2535</v>
      </c>
      <c r="N1695" s="2">
        <f t="shared" si="2466"/>
        <v>4.7</v>
      </c>
      <c r="O1695" s="2">
        <f t="shared" si="2407"/>
        <v>6110</v>
      </c>
      <c r="P1695" s="13"/>
      <c r="Q1695" s="13"/>
      <c r="R1695" s="13"/>
      <c r="S1695" s="13"/>
      <c r="T1695" s="13"/>
      <c r="U1695" s="13"/>
      <c r="V1695" s="13"/>
      <c r="W1695" s="13"/>
      <c r="X1695" s="13"/>
      <c r="Y1695" s="13"/>
      <c r="Z1695" s="13"/>
      <c r="AA1695" s="13"/>
      <c r="AB1695" s="13"/>
      <c r="AC1695" s="13"/>
      <c r="AD1695" s="13"/>
      <c r="AE1695" s="13"/>
      <c r="AF1695" s="13"/>
      <c r="AG1695" s="13"/>
    </row>
    <row r="1696" spans="1:33" s="14" customFormat="1">
      <c r="A1696" s="10">
        <v>43382</v>
      </c>
      <c r="B1696" s="3" t="s">
        <v>167</v>
      </c>
      <c r="C1696" s="15" t="s">
        <v>47</v>
      </c>
      <c r="D1696" s="15">
        <v>1000</v>
      </c>
      <c r="E1696" s="11">
        <v>500</v>
      </c>
      <c r="F1696" s="3" t="s">
        <v>8</v>
      </c>
      <c r="G1696" s="46">
        <v>37.15</v>
      </c>
      <c r="H1696" s="3">
        <v>40.15</v>
      </c>
      <c r="I1696" s="46">
        <v>0</v>
      </c>
      <c r="J1696" s="55">
        <v>0</v>
      </c>
      <c r="K1696" s="1">
        <f t="shared" ref="K1696" si="2480">(IF(F1696="SELL",G1696-H1696,IF(F1696="BUY",H1696-G1696)))*E1696</f>
        <v>1500</v>
      </c>
      <c r="L1696" s="51">
        <v>0</v>
      </c>
      <c r="M1696" s="52">
        <v>0</v>
      </c>
      <c r="N1696" s="2">
        <f t="shared" si="2466"/>
        <v>3</v>
      </c>
      <c r="O1696" s="2">
        <f t="shared" ref="O1696:O1759" si="2481">N1696*E1696</f>
        <v>1500</v>
      </c>
      <c r="P1696" s="13"/>
      <c r="Q1696" s="13"/>
      <c r="R1696" s="13"/>
      <c r="S1696" s="13"/>
      <c r="T1696" s="13"/>
      <c r="U1696" s="13"/>
      <c r="V1696" s="13"/>
      <c r="W1696" s="13"/>
      <c r="X1696" s="13"/>
      <c r="Y1696" s="13"/>
      <c r="Z1696" s="13"/>
      <c r="AA1696" s="13"/>
      <c r="AB1696" s="13"/>
      <c r="AC1696" s="13"/>
      <c r="AD1696" s="13"/>
      <c r="AE1696" s="13"/>
      <c r="AF1696" s="13"/>
      <c r="AG1696" s="13"/>
    </row>
    <row r="1697" spans="1:33" s="14" customFormat="1">
      <c r="A1697" s="10">
        <v>43382</v>
      </c>
      <c r="B1697" s="3" t="s">
        <v>122</v>
      </c>
      <c r="C1697" s="15" t="s">
        <v>46</v>
      </c>
      <c r="D1697" s="15">
        <v>1720</v>
      </c>
      <c r="E1697" s="11">
        <v>500</v>
      </c>
      <c r="F1697" s="3" t="s">
        <v>8</v>
      </c>
      <c r="G1697" s="46">
        <v>44</v>
      </c>
      <c r="H1697" s="3">
        <v>48.95</v>
      </c>
      <c r="I1697" s="46">
        <v>0</v>
      </c>
      <c r="J1697" s="55">
        <v>0</v>
      </c>
      <c r="K1697" s="1">
        <f t="shared" ref="K1697" si="2482">(IF(F1697="SELL",G1697-H1697,IF(F1697="BUY",H1697-G1697)))*E1697</f>
        <v>2475.0000000000014</v>
      </c>
      <c r="L1697" s="51">
        <v>0</v>
      </c>
      <c r="M1697" s="52">
        <v>0</v>
      </c>
      <c r="N1697" s="2">
        <f t="shared" si="2466"/>
        <v>4.9500000000000028</v>
      </c>
      <c r="O1697" s="2">
        <f t="shared" si="2481"/>
        <v>2475.0000000000014</v>
      </c>
      <c r="P1697" s="13"/>
      <c r="Q1697" s="13"/>
      <c r="R1697" s="13"/>
      <c r="S1697" s="13"/>
      <c r="T1697" s="13"/>
      <c r="U1697" s="13"/>
      <c r="V1697" s="13"/>
      <c r="W1697" s="13"/>
      <c r="X1697" s="13"/>
      <c r="Y1697" s="13"/>
      <c r="Z1697" s="13"/>
      <c r="AA1697" s="13"/>
      <c r="AB1697" s="13"/>
      <c r="AC1697" s="13"/>
      <c r="AD1697" s="13"/>
      <c r="AE1697" s="13"/>
      <c r="AF1697" s="13"/>
      <c r="AG1697" s="13"/>
    </row>
    <row r="1698" spans="1:33" s="14" customFormat="1">
      <c r="A1698" s="10">
        <v>43381</v>
      </c>
      <c r="B1698" s="3" t="s">
        <v>20</v>
      </c>
      <c r="C1698" s="15" t="s">
        <v>46</v>
      </c>
      <c r="D1698" s="15">
        <v>700</v>
      </c>
      <c r="E1698" s="11">
        <v>1200</v>
      </c>
      <c r="F1698" s="3" t="s">
        <v>8</v>
      </c>
      <c r="G1698" s="46">
        <v>22</v>
      </c>
      <c r="H1698" s="3">
        <v>24</v>
      </c>
      <c r="I1698" s="46">
        <v>26</v>
      </c>
      <c r="J1698" s="55">
        <v>28</v>
      </c>
      <c r="K1698" s="1">
        <f t="shared" ref="K1698" si="2483">(IF(F1698="SELL",G1698-H1698,IF(F1698="BUY",H1698-G1698)))*E1698</f>
        <v>2400</v>
      </c>
      <c r="L1698" s="51">
        <f t="shared" ref="L1698" si="2484">(IF(F1698="SELL",IF(I1698="",0,H1698-I1698),IF(F1698="BUY",IF(I1698="",0,I1698-H1698))))*E1698</f>
        <v>2400</v>
      </c>
      <c r="M1698" s="52">
        <v>2400</v>
      </c>
      <c r="N1698" s="2">
        <f t="shared" si="2466"/>
        <v>6</v>
      </c>
      <c r="O1698" s="2">
        <f t="shared" si="2481"/>
        <v>7200</v>
      </c>
      <c r="P1698" s="13"/>
      <c r="Q1698" s="13"/>
      <c r="R1698" s="13"/>
      <c r="S1698" s="13"/>
      <c r="T1698" s="13"/>
      <c r="U1698" s="13"/>
      <c r="V1698" s="13"/>
      <c r="W1698" s="13"/>
      <c r="X1698" s="13"/>
      <c r="Y1698" s="13"/>
      <c r="Z1698" s="13"/>
      <c r="AA1698" s="13"/>
      <c r="AB1698" s="13"/>
      <c r="AC1698" s="13"/>
      <c r="AD1698" s="13"/>
      <c r="AE1698" s="13"/>
      <c r="AF1698" s="13"/>
      <c r="AG1698" s="13"/>
    </row>
    <row r="1699" spans="1:33" s="14" customFormat="1">
      <c r="A1699" s="10">
        <v>43381</v>
      </c>
      <c r="B1699" s="3" t="s">
        <v>189</v>
      </c>
      <c r="C1699" s="15" t="s">
        <v>46</v>
      </c>
      <c r="D1699" s="15">
        <v>220</v>
      </c>
      <c r="E1699" s="11">
        <v>1500</v>
      </c>
      <c r="F1699" s="3" t="s">
        <v>8</v>
      </c>
      <c r="G1699" s="46">
        <v>17.5</v>
      </c>
      <c r="H1699" s="3">
        <v>19</v>
      </c>
      <c r="I1699" s="46">
        <v>21</v>
      </c>
      <c r="J1699" s="55">
        <v>0</v>
      </c>
      <c r="K1699" s="1">
        <f t="shared" ref="K1699" si="2485">(IF(F1699="SELL",G1699-H1699,IF(F1699="BUY",H1699-G1699)))*E1699</f>
        <v>2250</v>
      </c>
      <c r="L1699" s="51">
        <f t="shared" ref="L1699" si="2486">(IF(F1699="SELL",IF(I1699="",0,H1699-I1699),IF(F1699="BUY",IF(I1699="",0,I1699-H1699))))*E1699</f>
        <v>3000</v>
      </c>
      <c r="M1699" s="52">
        <v>0</v>
      </c>
      <c r="N1699" s="2">
        <f t="shared" si="2466"/>
        <v>3.5</v>
      </c>
      <c r="O1699" s="2">
        <f t="shared" si="2481"/>
        <v>5250</v>
      </c>
      <c r="P1699" s="13"/>
      <c r="Q1699" s="13"/>
      <c r="R1699" s="13"/>
      <c r="S1699" s="13"/>
      <c r="T1699" s="13"/>
      <c r="U1699" s="13"/>
      <c r="V1699" s="13"/>
      <c r="W1699" s="13"/>
      <c r="X1699" s="13"/>
      <c r="Y1699" s="13"/>
      <c r="Z1699" s="13"/>
      <c r="AA1699" s="13"/>
      <c r="AB1699" s="13"/>
      <c r="AC1699" s="13"/>
      <c r="AD1699" s="13"/>
      <c r="AE1699" s="13"/>
      <c r="AF1699" s="13"/>
      <c r="AG1699" s="13"/>
    </row>
    <row r="1700" spans="1:33" s="14" customFormat="1">
      <c r="A1700" s="10">
        <v>43377</v>
      </c>
      <c r="B1700" s="3" t="s">
        <v>154</v>
      </c>
      <c r="C1700" s="15" t="s">
        <v>46</v>
      </c>
      <c r="D1700" s="15">
        <v>390</v>
      </c>
      <c r="E1700" s="11">
        <v>1800</v>
      </c>
      <c r="F1700" s="3" t="s">
        <v>8</v>
      </c>
      <c r="G1700" s="46">
        <v>13</v>
      </c>
      <c r="H1700" s="3">
        <v>14</v>
      </c>
      <c r="I1700" s="46">
        <v>0</v>
      </c>
      <c r="J1700" s="55">
        <v>0</v>
      </c>
      <c r="K1700" s="1">
        <f t="shared" ref="K1700" si="2487">(IF(F1700="SELL",G1700-H1700,IF(F1700="BUY",H1700-G1700)))*E1700</f>
        <v>1800</v>
      </c>
      <c r="L1700" s="51">
        <v>0</v>
      </c>
      <c r="M1700" s="52">
        <v>0</v>
      </c>
      <c r="N1700" s="2">
        <f t="shared" si="2466"/>
        <v>1</v>
      </c>
      <c r="O1700" s="2">
        <f t="shared" si="2481"/>
        <v>1800</v>
      </c>
      <c r="P1700" s="13"/>
      <c r="Q1700" s="13"/>
      <c r="R1700" s="13"/>
      <c r="S1700" s="13"/>
      <c r="T1700" s="13"/>
      <c r="U1700" s="13"/>
      <c r="V1700" s="13"/>
      <c r="W1700" s="13"/>
      <c r="X1700" s="13"/>
      <c r="Y1700" s="13"/>
      <c r="Z1700" s="13"/>
      <c r="AA1700" s="13"/>
      <c r="AB1700" s="13"/>
      <c r="AC1700" s="13"/>
      <c r="AD1700" s="13"/>
      <c r="AE1700" s="13"/>
      <c r="AF1700" s="13"/>
      <c r="AG1700" s="13"/>
    </row>
    <row r="1701" spans="1:33" s="14" customFormat="1">
      <c r="A1701" s="10">
        <v>43376</v>
      </c>
      <c r="B1701" s="3" t="s">
        <v>213</v>
      </c>
      <c r="C1701" s="15" t="s">
        <v>46</v>
      </c>
      <c r="D1701" s="15">
        <v>320</v>
      </c>
      <c r="E1701" s="11">
        <v>2000</v>
      </c>
      <c r="F1701" s="3" t="s">
        <v>8</v>
      </c>
      <c r="G1701" s="46">
        <v>13.75</v>
      </c>
      <c r="H1701" s="3">
        <v>15</v>
      </c>
      <c r="I1701" s="46">
        <v>17</v>
      </c>
      <c r="J1701" s="55">
        <v>0</v>
      </c>
      <c r="K1701" s="1">
        <f t="shared" ref="K1701" si="2488">(IF(F1701="SELL",G1701-H1701,IF(F1701="BUY",H1701-G1701)))*E1701</f>
        <v>2500</v>
      </c>
      <c r="L1701" s="51">
        <f t="shared" ref="L1701:L1704" si="2489">(IF(F1701="SELL",IF(I1701="",0,H1701-I1701),IF(F1701="BUY",IF(I1701="",0,I1701-H1701))))*E1701</f>
        <v>4000</v>
      </c>
      <c r="M1701" s="52">
        <v>0</v>
      </c>
      <c r="N1701" s="2">
        <f t="shared" si="2466"/>
        <v>3.25</v>
      </c>
      <c r="O1701" s="2">
        <f t="shared" si="2481"/>
        <v>6500</v>
      </c>
      <c r="P1701" s="13"/>
      <c r="Q1701" s="13"/>
      <c r="R1701" s="13"/>
      <c r="S1701" s="13"/>
      <c r="T1701" s="13"/>
      <c r="U1701" s="13"/>
      <c r="V1701" s="13"/>
      <c r="W1701" s="13"/>
      <c r="X1701" s="13"/>
      <c r="Y1701" s="13"/>
      <c r="Z1701" s="13"/>
      <c r="AA1701" s="13"/>
      <c r="AB1701" s="13"/>
      <c r="AC1701" s="13"/>
      <c r="AD1701" s="13"/>
      <c r="AE1701" s="13"/>
      <c r="AF1701" s="13"/>
      <c r="AG1701" s="13"/>
    </row>
    <row r="1702" spans="1:33" s="14" customFormat="1">
      <c r="A1702" s="10">
        <v>43374</v>
      </c>
      <c r="B1702" s="3" t="s">
        <v>367</v>
      </c>
      <c r="C1702" s="15" t="s">
        <v>46</v>
      </c>
      <c r="D1702" s="15">
        <v>200</v>
      </c>
      <c r="E1702" s="11">
        <v>3000</v>
      </c>
      <c r="F1702" s="3" t="s">
        <v>8</v>
      </c>
      <c r="G1702" s="46">
        <v>7.25</v>
      </c>
      <c r="H1702" s="3">
        <v>8</v>
      </c>
      <c r="I1702" s="46">
        <v>8.75</v>
      </c>
      <c r="J1702" s="55">
        <v>0</v>
      </c>
      <c r="K1702" s="1">
        <f t="shared" ref="K1702" si="2490">(IF(F1702="SELL",G1702-H1702,IF(F1702="BUY",H1702-G1702)))*E1702</f>
        <v>2250</v>
      </c>
      <c r="L1702" s="51">
        <f t="shared" si="2489"/>
        <v>2250</v>
      </c>
      <c r="M1702" s="52">
        <v>0</v>
      </c>
      <c r="N1702" s="2">
        <f t="shared" si="2466"/>
        <v>1.5</v>
      </c>
      <c r="O1702" s="2">
        <f t="shared" si="2481"/>
        <v>4500</v>
      </c>
      <c r="P1702" s="13"/>
      <c r="Q1702" s="13"/>
      <c r="R1702" s="13"/>
      <c r="S1702" s="13"/>
      <c r="T1702" s="13"/>
      <c r="U1702" s="13"/>
      <c r="V1702" s="13"/>
      <c r="W1702" s="13"/>
      <c r="X1702" s="13"/>
      <c r="Y1702" s="13"/>
      <c r="Z1702" s="13"/>
      <c r="AA1702" s="13"/>
      <c r="AB1702" s="13"/>
      <c r="AC1702" s="13"/>
      <c r="AD1702" s="13"/>
      <c r="AE1702" s="13"/>
      <c r="AF1702" s="13"/>
      <c r="AG1702" s="13"/>
    </row>
    <row r="1703" spans="1:33" s="14" customFormat="1">
      <c r="A1703" s="10">
        <v>43371</v>
      </c>
      <c r="B1703" s="3" t="s">
        <v>175</v>
      </c>
      <c r="C1703" s="15" t="s">
        <v>46</v>
      </c>
      <c r="D1703" s="15">
        <v>2000</v>
      </c>
      <c r="E1703" s="11">
        <v>500</v>
      </c>
      <c r="F1703" s="3" t="s">
        <v>8</v>
      </c>
      <c r="G1703" s="46">
        <v>62</v>
      </c>
      <c r="H1703" s="3">
        <v>66</v>
      </c>
      <c r="I1703" s="46">
        <v>70</v>
      </c>
      <c r="J1703" s="55">
        <v>0</v>
      </c>
      <c r="K1703" s="1">
        <f t="shared" ref="K1703" si="2491">(IF(F1703="SELL",G1703-H1703,IF(F1703="BUY",H1703-G1703)))*E1703</f>
        <v>2000</v>
      </c>
      <c r="L1703" s="51">
        <f t="shared" si="2489"/>
        <v>2000</v>
      </c>
      <c r="M1703" s="52">
        <v>0</v>
      </c>
      <c r="N1703" s="2">
        <f t="shared" si="2466"/>
        <v>8</v>
      </c>
      <c r="O1703" s="2">
        <f t="shared" si="2481"/>
        <v>4000</v>
      </c>
      <c r="P1703" s="13"/>
      <c r="Q1703" s="13"/>
      <c r="R1703" s="13"/>
      <c r="S1703" s="13"/>
      <c r="T1703" s="13"/>
      <c r="U1703" s="13"/>
      <c r="V1703" s="13"/>
      <c r="W1703" s="13"/>
      <c r="X1703" s="13"/>
      <c r="Y1703" s="13"/>
      <c r="Z1703" s="13"/>
      <c r="AA1703" s="13"/>
      <c r="AB1703" s="13"/>
      <c r="AC1703" s="13"/>
      <c r="AD1703" s="13"/>
      <c r="AE1703" s="13"/>
      <c r="AF1703" s="13"/>
      <c r="AG1703" s="13"/>
    </row>
    <row r="1704" spans="1:33" s="14" customFormat="1">
      <c r="A1704" s="10">
        <v>43370</v>
      </c>
      <c r="B1704" s="3" t="s">
        <v>366</v>
      </c>
      <c r="C1704" s="15" t="s">
        <v>46</v>
      </c>
      <c r="D1704" s="15">
        <v>210</v>
      </c>
      <c r="E1704" s="11">
        <v>4000</v>
      </c>
      <c r="F1704" s="3" t="s">
        <v>8</v>
      </c>
      <c r="G1704" s="46">
        <v>4</v>
      </c>
      <c r="H1704" s="3">
        <v>5</v>
      </c>
      <c r="I1704" s="46">
        <v>6</v>
      </c>
      <c r="J1704" s="55">
        <v>7</v>
      </c>
      <c r="K1704" s="1">
        <f t="shared" ref="K1704" si="2492">(IF(F1704="SELL",G1704-H1704,IF(F1704="BUY",H1704-G1704)))*E1704</f>
        <v>4000</v>
      </c>
      <c r="L1704" s="51">
        <f t="shared" si="2489"/>
        <v>4000</v>
      </c>
      <c r="M1704" s="52">
        <v>4000</v>
      </c>
      <c r="N1704" s="2">
        <f t="shared" si="2466"/>
        <v>3</v>
      </c>
      <c r="O1704" s="2">
        <f t="shared" si="2481"/>
        <v>12000</v>
      </c>
      <c r="P1704" s="13"/>
      <c r="Q1704" s="13"/>
      <c r="R1704" s="13"/>
      <c r="S1704" s="13"/>
      <c r="T1704" s="13"/>
      <c r="U1704" s="13"/>
      <c r="V1704" s="13"/>
      <c r="W1704" s="13"/>
      <c r="X1704" s="13"/>
      <c r="Y1704" s="13"/>
      <c r="Z1704" s="13"/>
      <c r="AA1704" s="13"/>
      <c r="AB1704" s="13"/>
      <c r="AC1704" s="13"/>
      <c r="AD1704" s="13"/>
      <c r="AE1704" s="13"/>
      <c r="AF1704" s="13"/>
      <c r="AG1704" s="13"/>
    </row>
    <row r="1705" spans="1:33" s="14" customFormat="1">
      <c r="A1705" s="10">
        <v>43370</v>
      </c>
      <c r="B1705" s="3" t="s">
        <v>362</v>
      </c>
      <c r="C1705" s="15" t="s">
        <v>47</v>
      </c>
      <c r="D1705" s="15">
        <v>4100</v>
      </c>
      <c r="E1705" s="11">
        <v>200</v>
      </c>
      <c r="F1705" s="3" t="s">
        <v>8</v>
      </c>
      <c r="G1705" s="46">
        <v>10</v>
      </c>
      <c r="H1705" s="3">
        <v>15</v>
      </c>
      <c r="I1705" s="46">
        <v>19.95</v>
      </c>
      <c r="J1705" s="55">
        <v>0</v>
      </c>
      <c r="K1705" s="1">
        <f t="shared" ref="K1705" si="2493">(IF(F1705="SELL",G1705-H1705,IF(F1705="BUY",H1705-G1705)))*E1705</f>
        <v>1000</v>
      </c>
      <c r="L1705" s="51">
        <f t="shared" ref="L1705:L1710" si="2494">(IF(F1705="SELL",IF(I1705="",0,H1705-I1705),IF(F1705="BUY",IF(I1705="",0,I1705-H1705))))*E1705</f>
        <v>989.99999999999989</v>
      </c>
      <c r="M1705" s="52">
        <v>0</v>
      </c>
      <c r="N1705" s="2">
        <f t="shared" si="2466"/>
        <v>9.9499999999999993</v>
      </c>
      <c r="O1705" s="2">
        <f t="shared" si="2481"/>
        <v>1989.9999999999998</v>
      </c>
      <c r="P1705" s="13"/>
      <c r="Q1705" s="13"/>
      <c r="R1705" s="13"/>
      <c r="S1705" s="13"/>
      <c r="T1705" s="13"/>
      <c r="U1705" s="13"/>
      <c r="V1705" s="13"/>
      <c r="W1705" s="13"/>
      <c r="X1705" s="13"/>
      <c r="Y1705" s="13"/>
      <c r="Z1705" s="13"/>
      <c r="AA1705" s="13"/>
      <c r="AB1705" s="13"/>
      <c r="AC1705" s="13"/>
      <c r="AD1705" s="13"/>
      <c r="AE1705" s="13"/>
      <c r="AF1705" s="13"/>
      <c r="AG1705" s="13"/>
    </row>
    <row r="1706" spans="1:33" s="14" customFormat="1">
      <c r="A1706" s="10">
        <v>43370</v>
      </c>
      <c r="B1706" s="3" t="s">
        <v>164</v>
      </c>
      <c r="C1706" s="15" t="s">
        <v>47</v>
      </c>
      <c r="D1706" s="15">
        <v>240</v>
      </c>
      <c r="E1706" s="11">
        <v>1750</v>
      </c>
      <c r="F1706" s="3" t="s">
        <v>8</v>
      </c>
      <c r="G1706" s="46">
        <v>3.15</v>
      </c>
      <c r="H1706" s="3">
        <v>1</v>
      </c>
      <c r="I1706" s="46">
        <v>0</v>
      </c>
      <c r="J1706" s="55">
        <v>0</v>
      </c>
      <c r="K1706" s="1">
        <f t="shared" ref="K1706:K1707" si="2495">(IF(F1706="SELL",G1706-H1706,IF(F1706="BUY",H1706-G1706)))*E1706</f>
        <v>-3762.5</v>
      </c>
      <c r="L1706" s="51">
        <v>0</v>
      </c>
      <c r="M1706" s="52">
        <v>0</v>
      </c>
      <c r="N1706" s="2">
        <f t="shared" si="2466"/>
        <v>-2.15</v>
      </c>
      <c r="O1706" s="2">
        <f t="shared" si="2481"/>
        <v>-3762.5</v>
      </c>
      <c r="P1706" s="13"/>
      <c r="Q1706" s="13"/>
      <c r="R1706" s="13"/>
      <c r="S1706" s="13"/>
      <c r="T1706" s="13"/>
      <c r="U1706" s="13"/>
      <c r="V1706" s="13"/>
      <c r="W1706" s="13"/>
      <c r="X1706" s="13"/>
      <c r="Y1706" s="13"/>
      <c r="Z1706" s="13"/>
      <c r="AA1706" s="13"/>
      <c r="AB1706" s="13"/>
      <c r="AC1706" s="13"/>
      <c r="AD1706" s="13"/>
      <c r="AE1706" s="13"/>
      <c r="AF1706" s="13"/>
      <c r="AG1706" s="13"/>
    </row>
    <row r="1707" spans="1:33" s="14" customFormat="1">
      <c r="A1707" s="10">
        <v>43370</v>
      </c>
      <c r="B1707" s="3" t="s">
        <v>209</v>
      </c>
      <c r="C1707" s="15" t="s">
        <v>46</v>
      </c>
      <c r="D1707" s="15">
        <v>550</v>
      </c>
      <c r="E1707" s="11">
        <v>1000</v>
      </c>
      <c r="F1707" s="3" t="s">
        <v>8</v>
      </c>
      <c r="G1707" s="46">
        <v>5</v>
      </c>
      <c r="H1707" s="3">
        <v>2</v>
      </c>
      <c r="I1707" s="46">
        <v>0</v>
      </c>
      <c r="J1707" s="55">
        <v>0</v>
      </c>
      <c r="K1707" s="1">
        <f t="shared" si="2495"/>
        <v>-3000</v>
      </c>
      <c r="L1707" s="51">
        <v>0</v>
      </c>
      <c r="M1707" s="52">
        <v>0</v>
      </c>
      <c r="N1707" s="2">
        <f t="shared" si="2466"/>
        <v>-3</v>
      </c>
      <c r="O1707" s="2">
        <f t="shared" si="2481"/>
        <v>-3000</v>
      </c>
      <c r="P1707" s="13"/>
      <c r="Q1707" s="13"/>
      <c r="R1707" s="13"/>
      <c r="S1707" s="13"/>
      <c r="T1707" s="13"/>
      <c r="U1707" s="13"/>
      <c r="V1707" s="13"/>
      <c r="W1707" s="13"/>
      <c r="X1707" s="13"/>
      <c r="Y1707" s="13"/>
      <c r="Z1707" s="13"/>
      <c r="AA1707" s="13"/>
      <c r="AB1707" s="13"/>
      <c r="AC1707" s="13"/>
      <c r="AD1707" s="13"/>
      <c r="AE1707" s="13"/>
      <c r="AF1707" s="13"/>
      <c r="AG1707" s="13"/>
    </row>
    <row r="1708" spans="1:33" s="14" customFormat="1">
      <c r="A1708" s="10">
        <v>43369</v>
      </c>
      <c r="B1708" s="3" t="s">
        <v>164</v>
      </c>
      <c r="C1708" s="15" t="s">
        <v>47</v>
      </c>
      <c r="D1708" s="15">
        <v>240</v>
      </c>
      <c r="E1708" s="11">
        <v>1750</v>
      </c>
      <c r="F1708" s="3" t="s">
        <v>8</v>
      </c>
      <c r="G1708" s="46">
        <v>5</v>
      </c>
      <c r="H1708" s="3">
        <v>5.75</v>
      </c>
      <c r="I1708" s="46">
        <v>6.75</v>
      </c>
      <c r="J1708" s="55">
        <v>0</v>
      </c>
      <c r="K1708" s="1">
        <f t="shared" ref="K1708" si="2496">(IF(F1708="SELL",G1708-H1708,IF(F1708="BUY",H1708-G1708)))*E1708</f>
        <v>1312.5</v>
      </c>
      <c r="L1708" s="51">
        <f t="shared" ref="L1708" si="2497">(IF(F1708="SELL",IF(I1708="",0,H1708-I1708),IF(F1708="BUY",IF(I1708="",0,I1708-H1708))))*E1708</f>
        <v>1750</v>
      </c>
      <c r="M1708" s="52">
        <v>0</v>
      </c>
      <c r="N1708" s="2">
        <f t="shared" si="2466"/>
        <v>1.75</v>
      </c>
      <c r="O1708" s="2">
        <f t="shared" si="2481"/>
        <v>3062.5</v>
      </c>
      <c r="P1708" s="13"/>
      <c r="Q1708" s="13"/>
      <c r="R1708" s="13"/>
      <c r="S1708" s="13"/>
      <c r="T1708" s="13"/>
      <c r="U1708" s="13"/>
      <c r="V1708" s="13"/>
      <c r="W1708" s="13"/>
      <c r="X1708" s="13"/>
      <c r="Y1708" s="13"/>
      <c r="Z1708" s="13"/>
      <c r="AA1708" s="13"/>
      <c r="AB1708" s="13"/>
      <c r="AC1708" s="13"/>
      <c r="AD1708" s="13"/>
      <c r="AE1708" s="13"/>
      <c r="AF1708" s="13"/>
      <c r="AG1708" s="13"/>
    </row>
    <row r="1709" spans="1:33" s="14" customFormat="1">
      <c r="A1709" s="10">
        <v>43369</v>
      </c>
      <c r="B1709" s="3" t="s">
        <v>219</v>
      </c>
      <c r="C1709" s="15" t="s">
        <v>47</v>
      </c>
      <c r="D1709" s="15">
        <v>340</v>
      </c>
      <c r="E1709" s="11">
        <v>1500</v>
      </c>
      <c r="F1709" s="3" t="s">
        <v>8</v>
      </c>
      <c r="G1709" s="46">
        <v>7</v>
      </c>
      <c r="H1709" s="3">
        <v>9</v>
      </c>
      <c r="I1709" s="46">
        <v>11</v>
      </c>
      <c r="J1709" s="55">
        <v>0</v>
      </c>
      <c r="K1709" s="1">
        <f t="shared" ref="K1709" si="2498">(IF(F1709="SELL",G1709-H1709,IF(F1709="BUY",H1709-G1709)))*E1709</f>
        <v>3000</v>
      </c>
      <c r="L1709" s="51">
        <f t="shared" si="2494"/>
        <v>3000</v>
      </c>
      <c r="M1709" s="52">
        <v>0</v>
      </c>
      <c r="N1709" s="2">
        <f t="shared" si="2466"/>
        <v>4</v>
      </c>
      <c r="O1709" s="2">
        <f t="shared" si="2481"/>
        <v>6000</v>
      </c>
      <c r="P1709" s="13"/>
      <c r="Q1709" s="13"/>
      <c r="R1709" s="13"/>
      <c r="S1709" s="13"/>
      <c r="T1709" s="13"/>
      <c r="U1709" s="13"/>
      <c r="V1709" s="13"/>
      <c r="W1709" s="13"/>
      <c r="X1709" s="13"/>
      <c r="Y1709" s="13"/>
      <c r="Z1709" s="13"/>
      <c r="AA1709" s="13"/>
      <c r="AB1709" s="13"/>
      <c r="AC1709" s="13"/>
      <c r="AD1709" s="13"/>
      <c r="AE1709" s="13"/>
      <c r="AF1709" s="13"/>
      <c r="AG1709" s="13"/>
    </row>
    <row r="1710" spans="1:33" s="14" customFormat="1">
      <c r="A1710" s="10">
        <v>43368</v>
      </c>
      <c r="B1710" s="3" t="s">
        <v>365</v>
      </c>
      <c r="C1710" s="15" t="s">
        <v>47</v>
      </c>
      <c r="D1710" s="15">
        <v>80</v>
      </c>
      <c r="E1710" s="11">
        <v>7000</v>
      </c>
      <c r="F1710" s="3" t="s">
        <v>8</v>
      </c>
      <c r="G1710" s="46">
        <v>2.5</v>
      </c>
      <c r="H1710" s="3">
        <v>3</v>
      </c>
      <c r="I1710" s="46">
        <v>3.95</v>
      </c>
      <c r="J1710" s="55">
        <v>0</v>
      </c>
      <c r="K1710" s="1">
        <f t="shared" ref="K1710" si="2499">(IF(F1710="SELL",G1710-H1710,IF(F1710="BUY",H1710-G1710)))*E1710</f>
        <v>3500</v>
      </c>
      <c r="L1710" s="51">
        <f t="shared" si="2494"/>
        <v>6650.0000000000009</v>
      </c>
      <c r="M1710" s="52">
        <v>0</v>
      </c>
      <c r="N1710" s="2">
        <f t="shared" si="2466"/>
        <v>1.45</v>
      </c>
      <c r="O1710" s="2">
        <f t="shared" si="2481"/>
        <v>10150</v>
      </c>
      <c r="P1710" s="13"/>
      <c r="Q1710" s="13"/>
      <c r="R1710" s="13"/>
      <c r="S1710" s="13"/>
      <c r="T1710" s="13"/>
      <c r="U1710" s="13"/>
      <c r="V1710" s="13"/>
      <c r="W1710" s="13"/>
      <c r="X1710" s="13"/>
      <c r="Y1710" s="13"/>
      <c r="Z1710" s="13"/>
      <c r="AA1710" s="13"/>
      <c r="AB1710" s="13"/>
      <c r="AC1710" s="13"/>
      <c r="AD1710" s="13"/>
      <c r="AE1710" s="13"/>
      <c r="AF1710" s="13"/>
      <c r="AG1710" s="13"/>
    </row>
    <row r="1711" spans="1:33" s="14" customFormat="1">
      <c r="A1711" s="10">
        <v>43367</v>
      </c>
      <c r="B1711" s="3" t="s">
        <v>365</v>
      </c>
      <c r="C1711" s="15" t="s">
        <v>47</v>
      </c>
      <c r="D1711" s="15">
        <v>80</v>
      </c>
      <c r="E1711" s="11">
        <v>7000</v>
      </c>
      <c r="F1711" s="3" t="s">
        <v>8</v>
      </c>
      <c r="G1711" s="46">
        <v>1</v>
      </c>
      <c r="H1711" s="3">
        <v>1.3</v>
      </c>
      <c r="I1711" s="46">
        <v>0</v>
      </c>
      <c r="J1711" s="55">
        <v>0</v>
      </c>
      <c r="K1711" s="1">
        <f t="shared" ref="K1711:K1713" si="2500">(IF(F1711="SELL",G1711-H1711,IF(F1711="BUY",H1711-G1711)))*E1711</f>
        <v>2100.0000000000005</v>
      </c>
      <c r="L1711" s="51">
        <v>0</v>
      </c>
      <c r="M1711" s="52">
        <v>0</v>
      </c>
      <c r="N1711" s="2">
        <f t="shared" si="2466"/>
        <v>0.30000000000000004</v>
      </c>
      <c r="O1711" s="2">
        <f t="shared" si="2481"/>
        <v>2100.0000000000005</v>
      </c>
      <c r="P1711" s="13"/>
      <c r="Q1711" s="13"/>
      <c r="R1711" s="13"/>
      <c r="S1711" s="13"/>
      <c r="T1711" s="13"/>
      <c r="U1711" s="13"/>
      <c r="V1711" s="13"/>
      <c r="W1711" s="13"/>
      <c r="X1711" s="13"/>
      <c r="Y1711" s="13"/>
      <c r="Z1711" s="13"/>
      <c r="AA1711" s="13"/>
      <c r="AB1711" s="13"/>
      <c r="AC1711" s="13"/>
      <c r="AD1711" s="13"/>
      <c r="AE1711" s="13"/>
      <c r="AF1711" s="13"/>
      <c r="AG1711" s="13"/>
    </row>
    <row r="1712" spans="1:33" s="14" customFormat="1">
      <c r="A1712" s="10">
        <v>43364</v>
      </c>
      <c r="B1712" s="3" t="s">
        <v>293</v>
      </c>
      <c r="C1712" s="15" t="s">
        <v>46</v>
      </c>
      <c r="D1712" s="15">
        <v>610</v>
      </c>
      <c r="E1712" s="11">
        <v>1200</v>
      </c>
      <c r="F1712" s="3" t="s">
        <v>8</v>
      </c>
      <c r="G1712" s="46">
        <v>12.5</v>
      </c>
      <c r="H1712" s="3">
        <v>15</v>
      </c>
      <c r="I1712" s="46">
        <v>18</v>
      </c>
      <c r="J1712" s="55">
        <v>0</v>
      </c>
      <c r="K1712" s="1">
        <f t="shared" si="2500"/>
        <v>3000</v>
      </c>
      <c r="L1712" s="51">
        <f t="shared" ref="L1712" si="2501">(IF(F1712="SELL",IF(I1712="",0,H1712-I1712),IF(F1712="BUY",IF(I1712="",0,I1712-H1712))))*E1712</f>
        <v>3600</v>
      </c>
      <c r="M1712" s="52">
        <v>0</v>
      </c>
      <c r="N1712" s="2">
        <f t="shared" si="2466"/>
        <v>5.5</v>
      </c>
      <c r="O1712" s="2">
        <f t="shared" si="2481"/>
        <v>6600</v>
      </c>
      <c r="P1712" s="13"/>
      <c r="Q1712" s="13"/>
      <c r="R1712" s="13"/>
      <c r="S1712" s="13"/>
      <c r="T1712" s="13"/>
      <c r="U1712" s="13"/>
      <c r="V1712" s="13"/>
      <c r="W1712" s="13"/>
      <c r="X1712" s="13"/>
      <c r="Y1712" s="13"/>
      <c r="Z1712" s="13"/>
      <c r="AA1712" s="13"/>
      <c r="AB1712" s="13"/>
      <c r="AC1712" s="13"/>
      <c r="AD1712" s="13"/>
      <c r="AE1712" s="13"/>
      <c r="AF1712" s="13"/>
      <c r="AG1712" s="13"/>
    </row>
    <row r="1713" spans="1:33" s="14" customFormat="1">
      <c r="A1713" s="10">
        <v>43364</v>
      </c>
      <c r="B1713" s="3" t="s">
        <v>298</v>
      </c>
      <c r="C1713" s="15" t="s">
        <v>46</v>
      </c>
      <c r="D1713" s="15">
        <v>2400</v>
      </c>
      <c r="E1713" s="11">
        <v>500</v>
      </c>
      <c r="F1713" s="3" t="s">
        <v>8</v>
      </c>
      <c r="G1713" s="46">
        <v>50</v>
      </c>
      <c r="H1713" s="3">
        <v>60</v>
      </c>
      <c r="I1713" s="46">
        <v>80</v>
      </c>
      <c r="J1713" s="55">
        <v>100</v>
      </c>
      <c r="K1713" s="1">
        <f t="shared" si="2500"/>
        <v>5000</v>
      </c>
      <c r="L1713" s="51">
        <f t="shared" ref="L1713" si="2502">(IF(F1713="SELL",IF(I1713="",0,H1713-I1713),IF(F1713="BUY",IF(I1713="",0,I1713-H1713))))*E1713</f>
        <v>10000</v>
      </c>
      <c r="M1713" s="52">
        <v>10000</v>
      </c>
      <c r="N1713" s="2">
        <f t="shared" si="2466"/>
        <v>50</v>
      </c>
      <c r="O1713" s="2">
        <f t="shared" si="2481"/>
        <v>25000</v>
      </c>
      <c r="P1713" s="13"/>
      <c r="Q1713" s="13"/>
      <c r="R1713" s="13"/>
      <c r="S1713" s="13"/>
      <c r="T1713" s="13"/>
      <c r="U1713" s="13"/>
      <c r="V1713" s="13"/>
      <c r="W1713" s="13"/>
      <c r="X1713" s="13"/>
      <c r="Y1713" s="13"/>
      <c r="Z1713" s="13"/>
      <c r="AA1713" s="13"/>
      <c r="AB1713" s="13"/>
      <c r="AC1713" s="13"/>
      <c r="AD1713" s="13"/>
      <c r="AE1713" s="13"/>
      <c r="AF1713" s="13"/>
      <c r="AG1713" s="13"/>
    </row>
    <row r="1714" spans="1:33" s="14" customFormat="1">
      <c r="A1714" s="10">
        <v>43364</v>
      </c>
      <c r="B1714" s="3" t="s">
        <v>364</v>
      </c>
      <c r="C1714" s="15" t="s">
        <v>46</v>
      </c>
      <c r="D1714" s="15">
        <v>130</v>
      </c>
      <c r="E1714" s="11">
        <v>4500</v>
      </c>
      <c r="F1714" s="3" t="s">
        <v>8</v>
      </c>
      <c r="G1714" s="46">
        <v>2.5</v>
      </c>
      <c r="H1714" s="3">
        <v>3.5</v>
      </c>
      <c r="I1714" s="46">
        <v>4.5</v>
      </c>
      <c r="J1714" s="55">
        <v>0</v>
      </c>
      <c r="K1714" s="1">
        <f t="shared" ref="K1714" si="2503">(IF(F1714="SELL",G1714-H1714,IF(F1714="BUY",H1714-G1714)))*E1714</f>
        <v>4500</v>
      </c>
      <c r="L1714" s="51">
        <f t="shared" ref="L1714" si="2504">(IF(F1714="SELL",IF(I1714="",0,H1714-I1714),IF(F1714="BUY",IF(I1714="",0,I1714-H1714))))*E1714</f>
        <v>4500</v>
      </c>
      <c r="M1714" s="52">
        <v>0</v>
      </c>
      <c r="N1714" s="2">
        <f t="shared" si="2466"/>
        <v>2</v>
      </c>
      <c r="O1714" s="2">
        <f t="shared" si="2481"/>
        <v>9000</v>
      </c>
      <c r="P1714" s="13"/>
      <c r="Q1714" s="13"/>
      <c r="R1714" s="13"/>
      <c r="S1714" s="13"/>
      <c r="T1714" s="13"/>
      <c r="U1714" s="13"/>
      <c r="V1714" s="13"/>
      <c r="W1714" s="13"/>
      <c r="X1714" s="13"/>
      <c r="Y1714" s="13"/>
      <c r="Z1714" s="13"/>
      <c r="AA1714" s="13"/>
      <c r="AB1714" s="13"/>
      <c r="AC1714" s="13"/>
      <c r="AD1714" s="13"/>
      <c r="AE1714" s="13"/>
      <c r="AF1714" s="13"/>
      <c r="AG1714" s="13"/>
    </row>
    <row r="1715" spans="1:33" s="14" customFormat="1">
      <c r="A1715" s="10">
        <v>43364</v>
      </c>
      <c r="B1715" s="3" t="s">
        <v>156</v>
      </c>
      <c r="C1715" s="15" t="s">
        <v>47</v>
      </c>
      <c r="D1715" s="15">
        <v>660</v>
      </c>
      <c r="E1715" s="11">
        <v>1000</v>
      </c>
      <c r="F1715" s="3" t="s">
        <v>8</v>
      </c>
      <c r="G1715" s="46">
        <v>8.6999999999999993</v>
      </c>
      <c r="H1715" s="3">
        <v>5</v>
      </c>
      <c r="I1715" s="46">
        <v>0</v>
      </c>
      <c r="J1715" s="55">
        <v>0</v>
      </c>
      <c r="K1715" s="1">
        <f>(IF(F1715="SELL",G1715-H1715,IF(F1715="BUY",H1715-G1715)))*E1715</f>
        <v>-3699.9999999999991</v>
      </c>
      <c r="L1715" s="51">
        <v>0</v>
      </c>
      <c r="M1715" s="52">
        <v>0</v>
      </c>
      <c r="N1715" s="2">
        <f t="shared" si="2466"/>
        <v>-3.6999999999999993</v>
      </c>
      <c r="O1715" s="2">
        <f t="shared" si="2481"/>
        <v>-3699.9999999999991</v>
      </c>
      <c r="P1715" s="13"/>
      <c r="Q1715" s="13"/>
      <c r="R1715" s="13"/>
      <c r="S1715" s="13"/>
      <c r="T1715" s="13"/>
      <c r="U1715" s="13"/>
      <c r="V1715" s="13"/>
      <c r="W1715" s="13"/>
      <c r="X1715" s="13"/>
      <c r="Y1715" s="13"/>
      <c r="Z1715" s="13"/>
      <c r="AA1715" s="13"/>
      <c r="AB1715" s="13"/>
      <c r="AC1715" s="13"/>
      <c r="AD1715" s="13"/>
      <c r="AE1715" s="13"/>
      <c r="AF1715" s="13"/>
      <c r="AG1715" s="13"/>
    </row>
    <row r="1716" spans="1:33" s="14" customFormat="1">
      <c r="A1716" s="10">
        <v>43364</v>
      </c>
      <c r="B1716" s="3" t="s">
        <v>272</v>
      </c>
      <c r="C1716" s="15" t="s">
        <v>47</v>
      </c>
      <c r="D1716" s="15">
        <v>80</v>
      </c>
      <c r="E1716" s="11">
        <v>9000</v>
      </c>
      <c r="F1716" s="3" t="s">
        <v>8</v>
      </c>
      <c r="G1716" s="46">
        <v>2.5</v>
      </c>
      <c r="H1716" s="3">
        <v>1.8</v>
      </c>
      <c r="I1716" s="46">
        <v>0</v>
      </c>
      <c r="J1716" s="55">
        <v>0</v>
      </c>
      <c r="K1716" s="1">
        <f>(IF(F1716="SELL",G1716-H1716,IF(F1716="BUY",H1716-G1716)))*E1716</f>
        <v>-6300</v>
      </c>
      <c r="L1716" s="51">
        <v>0</v>
      </c>
      <c r="M1716" s="52">
        <v>0</v>
      </c>
      <c r="N1716" s="2">
        <f t="shared" si="2466"/>
        <v>-0.7</v>
      </c>
      <c r="O1716" s="2">
        <f t="shared" si="2481"/>
        <v>-6300</v>
      </c>
      <c r="P1716" s="13"/>
      <c r="Q1716" s="13"/>
      <c r="R1716" s="13"/>
      <c r="S1716" s="13"/>
      <c r="T1716" s="13"/>
      <c r="U1716" s="13"/>
      <c r="V1716" s="13"/>
      <c r="W1716" s="13"/>
      <c r="X1716" s="13"/>
      <c r="Y1716" s="13"/>
      <c r="Z1716" s="13"/>
      <c r="AA1716" s="13"/>
      <c r="AB1716" s="13"/>
      <c r="AC1716" s="13"/>
      <c r="AD1716" s="13"/>
      <c r="AE1716" s="13"/>
      <c r="AF1716" s="13"/>
      <c r="AG1716" s="13"/>
    </row>
    <row r="1717" spans="1:33" s="14" customFormat="1">
      <c r="A1717" s="10">
        <v>43362</v>
      </c>
      <c r="B1717" s="3" t="s">
        <v>342</v>
      </c>
      <c r="C1717" s="15" t="s">
        <v>47</v>
      </c>
      <c r="D1717" s="15">
        <v>3200</v>
      </c>
      <c r="E1717" s="11">
        <v>200</v>
      </c>
      <c r="F1717" s="3" t="s">
        <v>8</v>
      </c>
      <c r="G1717" s="46">
        <v>28</v>
      </c>
      <c r="H1717" s="3">
        <v>33</v>
      </c>
      <c r="I1717" s="46">
        <v>0</v>
      </c>
      <c r="J1717" s="55">
        <v>0</v>
      </c>
      <c r="K1717" s="1">
        <f t="shared" ref="K1717" si="2505">(IF(F1717="SELL",G1717-H1717,IF(F1717="BUY",H1717-G1717)))*E1717</f>
        <v>1000</v>
      </c>
      <c r="L1717" s="51">
        <v>0</v>
      </c>
      <c r="M1717" s="52">
        <v>0</v>
      </c>
      <c r="N1717" s="2">
        <f t="shared" si="2466"/>
        <v>5</v>
      </c>
      <c r="O1717" s="2">
        <f t="shared" si="2481"/>
        <v>1000</v>
      </c>
      <c r="P1717" s="13"/>
      <c r="Q1717" s="13"/>
      <c r="R1717" s="13"/>
      <c r="S1717" s="13"/>
      <c r="T1717" s="13"/>
      <c r="U1717" s="13"/>
      <c r="V1717" s="13"/>
      <c r="W1717" s="13"/>
      <c r="X1717" s="13"/>
      <c r="Y1717" s="13"/>
      <c r="Z1717" s="13"/>
      <c r="AA1717" s="13"/>
      <c r="AB1717" s="13"/>
      <c r="AC1717" s="13"/>
      <c r="AD1717" s="13"/>
      <c r="AE1717" s="13"/>
      <c r="AF1717" s="13"/>
      <c r="AG1717" s="13"/>
    </row>
    <row r="1718" spans="1:33" s="14" customFormat="1">
      <c r="A1718" s="10">
        <v>43362</v>
      </c>
      <c r="B1718" s="3" t="s">
        <v>363</v>
      </c>
      <c r="C1718" s="15" t="s">
        <v>47</v>
      </c>
      <c r="D1718" s="15">
        <v>470</v>
      </c>
      <c r="E1718" s="11">
        <v>1500</v>
      </c>
      <c r="F1718" s="3" t="s">
        <v>8</v>
      </c>
      <c r="G1718" s="46">
        <v>9.35</v>
      </c>
      <c r="H1718" s="3">
        <v>10.35</v>
      </c>
      <c r="I1718" s="46">
        <v>0</v>
      </c>
      <c r="J1718" s="55">
        <v>0</v>
      </c>
      <c r="K1718" s="1">
        <f t="shared" ref="K1718" si="2506">(IF(F1718="SELL",G1718-H1718,IF(F1718="BUY",H1718-G1718)))*E1718</f>
        <v>1500</v>
      </c>
      <c r="L1718" s="51">
        <v>0</v>
      </c>
      <c r="M1718" s="52">
        <v>0</v>
      </c>
      <c r="N1718" s="2">
        <f t="shared" si="2466"/>
        <v>1</v>
      </c>
      <c r="O1718" s="2">
        <f t="shared" si="2481"/>
        <v>1500</v>
      </c>
      <c r="P1718" s="13"/>
      <c r="Q1718" s="13"/>
      <c r="R1718" s="13"/>
      <c r="S1718" s="13"/>
      <c r="T1718" s="13"/>
      <c r="U1718" s="13"/>
      <c r="V1718" s="13"/>
      <c r="W1718" s="13"/>
      <c r="X1718" s="13"/>
      <c r="Y1718" s="13"/>
      <c r="Z1718" s="13"/>
      <c r="AA1718" s="13"/>
      <c r="AB1718" s="13"/>
      <c r="AC1718" s="13"/>
      <c r="AD1718" s="13"/>
      <c r="AE1718" s="13"/>
      <c r="AF1718" s="13"/>
      <c r="AG1718" s="13"/>
    </row>
    <row r="1719" spans="1:33" s="14" customFormat="1">
      <c r="A1719" s="10">
        <v>43361</v>
      </c>
      <c r="B1719" s="3" t="s">
        <v>232</v>
      </c>
      <c r="C1719" s="15" t="s">
        <v>47</v>
      </c>
      <c r="D1719" s="15">
        <v>450</v>
      </c>
      <c r="E1719" s="11">
        <v>1300</v>
      </c>
      <c r="F1719" s="3" t="s">
        <v>8</v>
      </c>
      <c r="G1719" s="46"/>
      <c r="H1719" s="3">
        <v>7.6</v>
      </c>
      <c r="I1719" s="46">
        <v>0</v>
      </c>
      <c r="J1719" s="55">
        <v>0</v>
      </c>
      <c r="K1719" s="1">
        <f t="shared" ref="K1719" si="2507">(IF(F1719="SELL",G1719-H1719,IF(F1719="BUY",H1719-G1719)))*E1719</f>
        <v>9880</v>
      </c>
      <c r="L1719" s="51">
        <v>0</v>
      </c>
      <c r="M1719" s="52">
        <v>0</v>
      </c>
      <c r="N1719" s="2">
        <f t="shared" si="2466"/>
        <v>7.6</v>
      </c>
      <c r="O1719" s="2">
        <f t="shared" si="2481"/>
        <v>9880</v>
      </c>
      <c r="P1719" s="13"/>
      <c r="Q1719" s="13"/>
      <c r="R1719" s="13"/>
      <c r="S1719" s="13"/>
      <c r="T1719" s="13"/>
      <c r="U1719" s="13"/>
      <c r="V1719" s="13"/>
      <c r="W1719" s="13"/>
      <c r="X1719" s="13"/>
      <c r="Y1719" s="13"/>
      <c r="Z1719" s="13"/>
      <c r="AA1719" s="13"/>
      <c r="AB1719" s="13"/>
      <c r="AC1719" s="13"/>
      <c r="AD1719" s="13"/>
      <c r="AE1719" s="13"/>
      <c r="AF1719" s="13"/>
      <c r="AG1719" s="13"/>
    </row>
    <row r="1720" spans="1:33" s="14" customFormat="1">
      <c r="A1720" s="10">
        <v>43360</v>
      </c>
      <c r="B1720" s="3" t="s">
        <v>252</v>
      </c>
      <c r="C1720" s="15" t="s">
        <v>47</v>
      </c>
      <c r="D1720" s="15">
        <v>155</v>
      </c>
      <c r="E1720" s="11">
        <v>4000</v>
      </c>
      <c r="F1720" s="3" t="s">
        <v>8</v>
      </c>
      <c r="G1720" s="46">
        <v>5.85</v>
      </c>
      <c r="H1720" s="3">
        <v>6.5</v>
      </c>
      <c r="I1720" s="46">
        <v>0</v>
      </c>
      <c r="J1720" s="55">
        <v>0</v>
      </c>
      <c r="K1720" s="1">
        <f t="shared" ref="K1720" si="2508">(IF(F1720="SELL",G1720-H1720,IF(F1720="BUY",H1720-G1720)))*E1720</f>
        <v>2600.0000000000014</v>
      </c>
      <c r="L1720" s="51">
        <v>0</v>
      </c>
      <c r="M1720" s="52">
        <v>0</v>
      </c>
      <c r="N1720" s="2">
        <f t="shared" si="2466"/>
        <v>0.65000000000000036</v>
      </c>
      <c r="O1720" s="2">
        <f t="shared" si="2481"/>
        <v>2600.0000000000014</v>
      </c>
      <c r="P1720" s="13"/>
      <c r="Q1720" s="13"/>
      <c r="R1720" s="13"/>
      <c r="S1720" s="13"/>
      <c r="T1720" s="13"/>
      <c r="U1720" s="13"/>
      <c r="V1720" s="13"/>
      <c r="W1720" s="13"/>
      <c r="X1720" s="13"/>
      <c r="Y1720" s="13"/>
      <c r="Z1720" s="13"/>
      <c r="AA1720" s="13"/>
      <c r="AB1720" s="13"/>
      <c r="AC1720" s="13"/>
      <c r="AD1720" s="13"/>
      <c r="AE1720" s="13"/>
      <c r="AF1720" s="13"/>
      <c r="AG1720" s="13"/>
    </row>
    <row r="1721" spans="1:33" s="14" customFormat="1">
      <c r="A1721" s="10">
        <v>43360</v>
      </c>
      <c r="B1721" s="3" t="s">
        <v>220</v>
      </c>
      <c r="C1721" s="15" t="s">
        <v>47</v>
      </c>
      <c r="D1721" s="15">
        <v>1250</v>
      </c>
      <c r="E1721" s="11">
        <v>250</v>
      </c>
      <c r="F1721" s="3" t="s">
        <v>8</v>
      </c>
      <c r="G1721" s="46">
        <v>58</v>
      </c>
      <c r="H1721" s="3">
        <v>45</v>
      </c>
      <c r="I1721" s="46">
        <v>0</v>
      </c>
      <c r="J1721" s="55">
        <v>0</v>
      </c>
      <c r="K1721" s="1">
        <f t="shared" ref="K1721" si="2509">(IF(F1721="SELL",G1721-H1721,IF(F1721="BUY",H1721-G1721)))*E1721</f>
        <v>-3250</v>
      </c>
      <c r="L1721" s="51">
        <v>0</v>
      </c>
      <c r="M1721" s="52">
        <v>0</v>
      </c>
      <c r="N1721" s="2">
        <f t="shared" si="2466"/>
        <v>-13</v>
      </c>
      <c r="O1721" s="2">
        <f t="shared" si="2481"/>
        <v>-3250</v>
      </c>
      <c r="P1721" s="13"/>
      <c r="Q1721" s="13"/>
      <c r="R1721" s="13"/>
      <c r="S1721" s="13"/>
      <c r="T1721" s="13"/>
      <c r="U1721" s="13"/>
      <c r="V1721" s="13"/>
      <c r="W1721" s="13"/>
      <c r="X1721" s="13"/>
      <c r="Y1721" s="13"/>
      <c r="Z1721" s="13"/>
      <c r="AA1721" s="13"/>
      <c r="AB1721" s="13"/>
      <c r="AC1721" s="13"/>
      <c r="AD1721" s="13"/>
      <c r="AE1721" s="13"/>
      <c r="AF1721" s="13"/>
      <c r="AG1721" s="13"/>
    </row>
    <row r="1722" spans="1:33" s="14" customFormat="1">
      <c r="A1722" s="10">
        <v>43357</v>
      </c>
      <c r="B1722" s="3" t="s">
        <v>362</v>
      </c>
      <c r="C1722" s="15" t="s">
        <v>47</v>
      </c>
      <c r="D1722" s="15">
        <v>4200</v>
      </c>
      <c r="E1722" s="11">
        <v>200</v>
      </c>
      <c r="F1722" s="3" t="s">
        <v>8</v>
      </c>
      <c r="G1722" s="46">
        <v>75</v>
      </c>
      <c r="H1722" s="3">
        <v>80</v>
      </c>
      <c r="I1722" s="46">
        <v>90</v>
      </c>
      <c r="J1722" s="55">
        <v>0</v>
      </c>
      <c r="K1722" s="1">
        <f t="shared" ref="K1722" si="2510">(IF(F1722="SELL",G1722-H1722,IF(F1722="BUY",H1722-G1722)))*E1722</f>
        <v>1000</v>
      </c>
      <c r="L1722" s="51">
        <f t="shared" ref="L1722" si="2511">(IF(F1722="SELL",IF(I1722="",0,H1722-I1722),IF(F1722="BUY",IF(I1722="",0,I1722-H1722))))*E1722</f>
        <v>2000</v>
      </c>
      <c r="M1722" s="52">
        <v>0</v>
      </c>
      <c r="N1722" s="2">
        <f t="shared" si="2466"/>
        <v>15</v>
      </c>
      <c r="O1722" s="2">
        <f t="shared" si="2481"/>
        <v>3000</v>
      </c>
      <c r="P1722" s="13"/>
      <c r="Q1722" s="13"/>
      <c r="R1722" s="13"/>
      <c r="S1722" s="13"/>
      <c r="T1722" s="13"/>
      <c r="U1722" s="13"/>
      <c r="V1722" s="13"/>
      <c r="W1722" s="13"/>
      <c r="X1722" s="13"/>
      <c r="Y1722" s="13"/>
      <c r="Z1722" s="13"/>
      <c r="AA1722" s="13"/>
      <c r="AB1722" s="13"/>
      <c r="AC1722" s="13"/>
      <c r="AD1722" s="13"/>
      <c r="AE1722" s="13"/>
      <c r="AF1722" s="13"/>
      <c r="AG1722" s="13"/>
    </row>
    <row r="1723" spans="1:33" s="14" customFormat="1">
      <c r="A1723" s="10">
        <v>43357</v>
      </c>
      <c r="B1723" s="3" t="s">
        <v>205</v>
      </c>
      <c r="C1723" s="15" t="s">
        <v>47</v>
      </c>
      <c r="D1723" s="15">
        <v>1620</v>
      </c>
      <c r="E1723" s="11">
        <v>400</v>
      </c>
      <c r="F1723" s="3" t="s">
        <v>8</v>
      </c>
      <c r="G1723" s="46">
        <v>22</v>
      </c>
      <c r="H1723" s="3">
        <v>25</v>
      </c>
      <c r="I1723" s="46">
        <v>0</v>
      </c>
      <c r="J1723" s="55">
        <v>0</v>
      </c>
      <c r="K1723" s="1">
        <f t="shared" ref="K1723" si="2512">(IF(F1723="SELL",G1723-H1723,IF(F1723="BUY",H1723-G1723)))*E1723</f>
        <v>1200</v>
      </c>
      <c r="L1723" s="51">
        <v>0</v>
      </c>
      <c r="M1723" s="52">
        <v>0</v>
      </c>
      <c r="N1723" s="2">
        <f t="shared" si="2466"/>
        <v>3</v>
      </c>
      <c r="O1723" s="2">
        <f t="shared" si="2481"/>
        <v>1200</v>
      </c>
      <c r="P1723" s="13"/>
      <c r="Q1723" s="13"/>
      <c r="R1723" s="13"/>
      <c r="S1723" s="13"/>
      <c r="T1723" s="13"/>
      <c r="U1723" s="13"/>
      <c r="V1723" s="13"/>
      <c r="W1723" s="13"/>
      <c r="X1723" s="13"/>
      <c r="Y1723" s="13"/>
      <c r="Z1723" s="13"/>
      <c r="AA1723" s="13"/>
      <c r="AB1723" s="13"/>
      <c r="AC1723" s="13"/>
      <c r="AD1723" s="13"/>
      <c r="AE1723" s="13"/>
      <c r="AF1723" s="13"/>
      <c r="AG1723" s="13"/>
    </row>
    <row r="1724" spans="1:33" s="14" customFormat="1">
      <c r="A1724" s="10">
        <v>43355</v>
      </c>
      <c r="B1724" s="3" t="s">
        <v>300</v>
      </c>
      <c r="C1724" s="15" t="s">
        <v>47</v>
      </c>
      <c r="D1724" s="15">
        <v>430</v>
      </c>
      <c r="E1724" s="11">
        <v>1250</v>
      </c>
      <c r="F1724" s="3" t="s">
        <v>8</v>
      </c>
      <c r="G1724" s="46">
        <v>12.9</v>
      </c>
      <c r="H1724" s="3">
        <v>13.9</v>
      </c>
      <c r="I1724" s="46">
        <v>0</v>
      </c>
      <c r="J1724" s="55">
        <v>0</v>
      </c>
      <c r="K1724" s="1">
        <f t="shared" ref="K1724" si="2513">(IF(F1724="SELL",G1724-H1724,IF(F1724="BUY",H1724-G1724)))*E1724</f>
        <v>1250</v>
      </c>
      <c r="L1724" s="51">
        <v>0</v>
      </c>
      <c r="M1724" s="52">
        <v>0</v>
      </c>
      <c r="N1724" s="2">
        <f t="shared" si="2466"/>
        <v>1</v>
      </c>
      <c r="O1724" s="2">
        <f t="shared" si="2481"/>
        <v>1250</v>
      </c>
      <c r="P1724" s="13"/>
      <c r="Q1724" s="13"/>
      <c r="R1724" s="13"/>
      <c r="S1724" s="13"/>
      <c r="T1724" s="13"/>
      <c r="U1724" s="13"/>
      <c r="V1724" s="13"/>
      <c r="W1724" s="13"/>
      <c r="X1724" s="13"/>
      <c r="Y1724" s="13"/>
      <c r="Z1724" s="13"/>
      <c r="AA1724" s="13"/>
      <c r="AB1724" s="13"/>
      <c r="AC1724" s="13"/>
      <c r="AD1724" s="13"/>
      <c r="AE1724" s="13"/>
      <c r="AF1724" s="13"/>
      <c r="AG1724" s="13"/>
    </row>
    <row r="1725" spans="1:33" s="14" customFormat="1">
      <c r="A1725" s="10">
        <v>43355</v>
      </c>
      <c r="B1725" s="3" t="s">
        <v>141</v>
      </c>
      <c r="C1725" s="15" t="s">
        <v>47</v>
      </c>
      <c r="D1725" s="15">
        <v>400</v>
      </c>
      <c r="E1725" s="11">
        <v>3000</v>
      </c>
      <c r="F1725" s="3" t="s">
        <v>8</v>
      </c>
      <c r="G1725" s="46">
        <v>12</v>
      </c>
      <c r="H1725" s="3">
        <v>12.5</v>
      </c>
      <c r="I1725" s="46">
        <v>13.5</v>
      </c>
      <c r="J1725" s="55">
        <v>0</v>
      </c>
      <c r="K1725" s="1">
        <f t="shared" ref="K1725" si="2514">(IF(F1725="SELL",G1725-H1725,IF(F1725="BUY",H1725-G1725)))*E1725</f>
        <v>1500</v>
      </c>
      <c r="L1725" s="51">
        <f t="shared" ref="L1725" si="2515">(IF(F1725="SELL",IF(I1725="",0,H1725-I1725),IF(F1725="BUY",IF(I1725="",0,I1725-H1725))))*E1725</f>
        <v>3000</v>
      </c>
      <c r="M1725" s="52">
        <v>0</v>
      </c>
      <c r="N1725" s="2">
        <f t="shared" si="2466"/>
        <v>1.5</v>
      </c>
      <c r="O1725" s="2">
        <f t="shared" si="2481"/>
        <v>4500</v>
      </c>
      <c r="P1725" s="13"/>
      <c r="Q1725" s="13"/>
      <c r="R1725" s="13"/>
      <c r="S1725" s="13"/>
      <c r="T1725" s="13"/>
      <c r="U1725" s="13"/>
      <c r="V1725" s="13"/>
      <c r="W1725" s="13"/>
      <c r="X1725" s="13"/>
      <c r="Y1725" s="13"/>
      <c r="Z1725" s="13"/>
      <c r="AA1725" s="13"/>
      <c r="AB1725" s="13"/>
      <c r="AC1725" s="13"/>
      <c r="AD1725" s="13"/>
      <c r="AE1725" s="13"/>
      <c r="AF1725" s="13"/>
      <c r="AG1725" s="13"/>
    </row>
    <row r="1726" spans="1:33" s="14" customFormat="1">
      <c r="A1726" s="10">
        <v>43354</v>
      </c>
      <c r="B1726" s="3" t="s">
        <v>360</v>
      </c>
      <c r="C1726" s="15" t="s">
        <v>47</v>
      </c>
      <c r="D1726" s="15">
        <v>80</v>
      </c>
      <c r="E1726" s="11">
        <v>7000</v>
      </c>
      <c r="F1726" s="3" t="s">
        <v>8</v>
      </c>
      <c r="G1726" s="46">
        <v>3.7</v>
      </c>
      <c r="H1726" s="3">
        <v>4</v>
      </c>
      <c r="I1726" s="46">
        <v>0</v>
      </c>
      <c r="J1726" s="55">
        <v>0</v>
      </c>
      <c r="K1726" s="1">
        <f t="shared" ref="K1726" si="2516">(IF(F1726="SELL",G1726-H1726,IF(F1726="BUY",H1726-G1726)))*E1726</f>
        <v>2099.9999999999986</v>
      </c>
      <c r="L1726" s="51">
        <v>0</v>
      </c>
      <c r="M1726" s="52">
        <v>0</v>
      </c>
      <c r="N1726" s="2">
        <f t="shared" si="2466"/>
        <v>0.29999999999999982</v>
      </c>
      <c r="O1726" s="2">
        <f t="shared" si="2481"/>
        <v>2099.9999999999986</v>
      </c>
      <c r="P1726" s="13"/>
      <c r="Q1726" s="13"/>
      <c r="R1726" s="13"/>
      <c r="S1726" s="13"/>
      <c r="T1726" s="13"/>
      <c r="U1726" s="13"/>
      <c r="V1726" s="13"/>
      <c r="W1726" s="13"/>
      <c r="X1726" s="13"/>
      <c r="Y1726" s="13"/>
      <c r="Z1726" s="13"/>
      <c r="AA1726" s="13"/>
      <c r="AB1726" s="13"/>
      <c r="AC1726" s="13"/>
      <c r="AD1726" s="13"/>
      <c r="AE1726" s="13"/>
      <c r="AF1726" s="13"/>
      <c r="AG1726" s="13"/>
    </row>
    <row r="1727" spans="1:33" s="14" customFormat="1">
      <c r="A1727" s="10">
        <v>43354</v>
      </c>
      <c r="B1727" s="3" t="s">
        <v>140</v>
      </c>
      <c r="C1727" s="15" t="s">
        <v>47</v>
      </c>
      <c r="D1727" s="15">
        <v>330</v>
      </c>
      <c r="E1727" s="11">
        <v>1750</v>
      </c>
      <c r="F1727" s="3" t="s">
        <v>8</v>
      </c>
      <c r="G1727" s="46">
        <v>14</v>
      </c>
      <c r="H1727" s="3">
        <v>12</v>
      </c>
      <c r="I1727" s="46">
        <v>0</v>
      </c>
      <c r="J1727" s="55">
        <v>0</v>
      </c>
      <c r="K1727" s="1">
        <f t="shared" ref="K1727" si="2517">(IF(F1727="SELL",G1727-H1727,IF(F1727="BUY",H1727-G1727)))*E1727</f>
        <v>-3500</v>
      </c>
      <c r="L1727" s="51">
        <v>0</v>
      </c>
      <c r="M1727" s="52">
        <v>0</v>
      </c>
      <c r="N1727" s="2">
        <f t="shared" si="2466"/>
        <v>-2</v>
      </c>
      <c r="O1727" s="2">
        <f t="shared" si="2481"/>
        <v>-3500</v>
      </c>
      <c r="P1727" s="13"/>
      <c r="Q1727" s="13"/>
      <c r="R1727" s="13"/>
      <c r="S1727" s="13"/>
      <c r="T1727" s="13"/>
      <c r="U1727" s="13"/>
      <c r="V1727" s="13"/>
      <c r="W1727" s="13"/>
      <c r="X1727" s="13"/>
      <c r="Y1727" s="13"/>
      <c r="Z1727" s="13"/>
      <c r="AA1727" s="13"/>
      <c r="AB1727" s="13"/>
      <c r="AC1727" s="13"/>
      <c r="AD1727" s="13"/>
      <c r="AE1727" s="13"/>
      <c r="AF1727" s="13"/>
      <c r="AG1727" s="13"/>
    </row>
    <row r="1728" spans="1:33" s="14" customFormat="1">
      <c r="A1728" s="10">
        <v>43353</v>
      </c>
      <c r="B1728" s="3" t="s">
        <v>211</v>
      </c>
      <c r="C1728" s="15" t="s">
        <v>47</v>
      </c>
      <c r="D1728" s="15">
        <v>1400</v>
      </c>
      <c r="E1728" s="11">
        <v>750</v>
      </c>
      <c r="F1728" s="3" t="s">
        <v>8</v>
      </c>
      <c r="G1728" s="46">
        <v>33</v>
      </c>
      <c r="H1728" s="3">
        <v>36</v>
      </c>
      <c r="I1728" s="46">
        <v>0</v>
      </c>
      <c r="J1728" s="55">
        <v>0</v>
      </c>
      <c r="K1728" s="1">
        <f t="shared" ref="K1728" si="2518">(IF(F1728="SELL",G1728-H1728,IF(F1728="BUY",H1728-G1728)))*E1728</f>
        <v>2250</v>
      </c>
      <c r="L1728" s="51">
        <v>0</v>
      </c>
      <c r="M1728" s="52">
        <v>0</v>
      </c>
      <c r="N1728" s="2">
        <f t="shared" si="2466"/>
        <v>3</v>
      </c>
      <c r="O1728" s="2">
        <f t="shared" si="2481"/>
        <v>2250</v>
      </c>
      <c r="P1728" s="13"/>
      <c r="Q1728" s="13"/>
      <c r="R1728" s="13"/>
      <c r="S1728" s="13"/>
      <c r="T1728" s="13"/>
      <c r="U1728" s="13"/>
      <c r="V1728" s="13"/>
      <c r="W1728" s="13"/>
      <c r="X1728" s="13"/>
      <c r="Y1728" s="13"/>
      <c r="Z1728" s="13"/>
      <c r="AA1728" s="13"/>
      <c r="AB1728" s="13"/>
      <c r="AC1728" s="13"/>
      <c r="AD1728" s="13"/>
      <c r="AE1728" s="13"/>
      <c r="AF1728" s="13"/>
      <c r="AG1728" s="13"/>
    </row>
    <row r="1729" spans="1:33" s="14" customFormat="1">
      <c r="A1729" s="10">
        <v>43353</v>
      </c>
      <c r="B1729" s="3" t="s">
        <v>306</v>
      </c>
      <c r="C1729" s="15" t="s">
        <v>47</v>
      </c>
      <c r="D1729" s="15">
        <v>92.5</v>
      </c>
      <c r="E1729" s="11">
        <v>6000</v>
      </c>
      <c r="F1729" s="3" t="s">
        <v>8</v>
      </c>
      <c r="G1729" s="46">
        <v>3.6</v>
      </c>
      <c r="H1729" s="3">
        <v>2.9</v>
      </c>
      <c r="I1729" s="46">
        <v>0</v>
      </c>
      <c r="J1729" s="55">
        <v>0</v>
      </c>
      <c r="K1729" s="1">
        <f t="shared" ref="K1729" si="2519">(IF(F1729="SELL",G1729-H1729,IF(F1729="BUY",H1729-G1729)))*E1729</f>
        <v>-4200.0000000000009</v>
      </c>
      <c r="L1729" s="51">
        <v>0</v>
      </c>
      <c r="M1729" s="52">
        <v>0</v>
      </c>
      <c r="N1729" s="2">
        <f t="shared" si="2466"/>
        <v>-0.70000000000000018</v>
      </c>
      <c r="O1729" s="2">
        <f t="shared" si="2481"/>
        <v>-4200.0000000000009</v>
      </c>
      <c r="P1729" s="13"/>
      <c r="Q1729" s="13"/>
      <c r="R1729" s="13"/>
      <c r="S1729" s="13"/>
      <c r="T1729" s="13"/>
      <c r="U1729" s="13"/>
      <c r="V1729" s="13"/>
      <c r="W1729" s="13"/>
      <c r="X1729" s="13"/>
      <c r="Y1729" s="13"/>
      <c r="Z1729" s="13"/>
      <c r="AA1729" s="13"/>
      <c r="AB1729" s="13"/>
      <c r="AC1729" s="13"/>
      <c r="AD1729" s="13"/>
      <c r="AE1729" s="13"/>
      <c r="AF1729" s="13"/>
      <c r="AG1729" s="13"/>
    </row>
    <row r="1730" spans="1:33" s="14" customFormat="1">
      <c r="A1730" s="10">
        <v>43350</v>
      </c>
      <c r="B1730" s="3" t="s">
        <v>359</v>
      </c>
      <c r="C1730" s="15" t="s">
        <v>47</v>
      </c>
      <c r="D1730" s="15">
        <v>2900</v>
      </c>
      <c r="E1730" s="11">
        <v>250</v>
      </c>
      <c r="F1730" s="3" t="s">
        <v>8</v>
      </c>
      <c r="G1730" s="46">
        <v>60</v>
      </c>
      <c r="H1730" s="3">
        <v>65</v>
      </c>
      <c r="I1730" s="46">
        <v>75</v>
      </c>
      <c r="J1730" s="55">
        <v>85</v>
      </c>
      <c r="K1730" s="1">
        <f t="shared" ref="K1730" si="2520">(IF(F1730="SELL",G1730-H1730,IF(F1730="BUY",H1730-G1730)))*E1730</f>
        <v>1250</v>
      </c>
      <c r="L1730" s="51">
        <f t="shared" ref="L1730" si="2521">(IF(F1730="SELL",IF(I1730="",0,H1730-I1730),IF(F1730="BUY",IF(I1730="",0,I1730-H1730))))*E1730</f>
        <v>2500</v>
      </c>
      <c r="M1730" s="52">
        <v>2500</v>
      </c>
      <c r="N1730" s="2">
        <f t="shared" si="2466"/>
        <v>25</v>
      </c>
      <c r="O1730" s="2">
        <f t="shared" si="2481"/>
        <v>6250</v>
      </c>
      <c r="P1730" s="13"/>
      <c r="Q1730" s="13"/>
      <c r="R1730" s="13"/>
      <c r="S1730" s="13"/>
      <c r="T1730" s="13"/>
      <c r="U1730" s="13"/>
      <c r="V1730" s="13"/>
      <c r="W1730" s="13"/>
      <c r="X1730" s="13"/>
      <c r="Y1730" s="13"/>
      <c r="Z1730" s="13"/>
      <c r="AA1730" s="13"/>
      <c r="AB1730" s="13"/>
      <c r="AC1730" s="13"/>
      <c r="AD1730" s="13"/>
      <c r="AE1730" s="13"/>
      <c r="AF1730" s="13"/>
      <c r="AG1730" s="13"/>
    </row>
    <row r="1731" spans="1:33" s="14" customFormat="1">
      <c r="A1731" s="10">
        <v>43350</v>
      </c>
      <c r="B1731" s="3" t="s">
        <v>272</v>
      </c>
      <c r="C1731" s="15" t="s">
        <v>47</v>
      </c>
      <c r="D1731" s="15">
        <v>90</v>
      </c>
      <c r="E1731" s="11">
        <v>9000</v>
      </c>
      <c r="F1731" s="3" t="s">
        <v>8</v>
      </c>
      <c r="G1731" s="46">
        <v>2.6</v>
      </c>
      <c r="H1731" s="3">
        <v>2.85</v>
      </c>
      <c r="I1731" s="46">
        <v>0</v>
      </c>
      <c r="J1731" s="55">
        <v>0</v>
      </c>
      <c r="K1731" s="1">
        <f t="shared" ref="K1731" si="2522">(IF(F1731="SELL",G1731-H1731,IF(F1731="BUY",H1731-G1731)))*E1731</f>
        <v>2250</v>
      </c>
      <c r="L1731" s="51">
        <v>0</v>
      </c>
      <c r="M1731" s="52">
        <v>0</v>
      </c>
      <c r="N1731" s="2">
        <f t="shared" si="2466"/>
        <v>0.25</v>
      </c>
      <c r="O1731" s="2">
        <f t="shared" si="2481"/>
        <v>2250</v>
      </c>
      <c r="P1731" s="13"/>
      <c r="Q1731" s="13"/>
      <c r="R1731" s="13"/>
      <c r="S1731" s="13"/>
      <c r="T1731" s="13"/>
      <c r="U1731" s="13"/>
      <c r="V1731" s="13"/>
      <c r="W1731" s="13"/>
      <c r="X1731" s="13"/>
      <c r="Y1731" s="13"/>
      <c r="Z1731" s="13"/>
      <c r="AA1731" s="13"/>
      <c r="AB1731" s="13"/>
      <c r="AC1731" s="13"/>
      <c r="AD1731" s="13"/>
      <c r="AE1731" s="13"/>
      <c r="AF1731" s="13"/>
      <c r="AG1731" s="13"/>
    </row>
    <row r="1732" spans="1:33" s="14" customFormat="1">
      <c r="A1732" s="10">
        <v>43350</v>
      </c>
      <c r="B1732" s="3" t="s">
        <v>278</v>
      </c>
      <c r="C1732" s="15" t="s">
        <v>47</v>
      </c>
      <c r="D1732" s="15">
        <v>300</v>
      </c>
      <c r="E1732" s="11">
        <v>250</v>
      </c>
      <c r="F1732" s="3" t="s">
        <v>8</v>
      </c>
      <c r="G1732" s="46">
        <v>10.9</v>
      </c>
      <c r="H1732" s="3">
        <v>11.7</v>
      </c>
      <c r="I1732" s="46">
        <v>0</v>
      </c>
      <c r="J1732" s="55">
        <v>0</v>
      </c>
      <c r="K1732" s="1">
        <f t="shared" ref="K1732:K1733" si="2523">(IF(F1732="SELL",G1732-H1732,IF(F1732="BUY",H1732-G1732)))*E1732</f>
        <v>199.99999999999974</v>
      </c>
      <c r="L1732" s="51">
        <v>0</v>
      </c>
      <c r="M1732" s="52">
        <v>0</v>
      </c>
      <c r="N1732" s="2">
        <f t="shared" si="2466"/>
        <v>0.79999999999999893</v>
      </c>
      <c r="O1732" s="2">
        <f t="shared" si="2481"/>
        <v>199.99999999999974</v>
      </c>
      <c r="P1732" s="13"/>
      <c r="Q1732" s="13"/>
      <c r="R1732" s="13"/>
      <c r="S1732" s="13"/>
      <c r="T1732" s="13"/>
      <c r="U1732" s="13"/>
      <c r="V1732" s="13"/>
      <c r="W1732" s="13"/>
      <c r="X1732" s="13"/>
      <c r="Y1732" s="13"/>
      <c r="Z1732" s="13"/>
      <c r="AA1732" s="13"/>
      <c r="AB1732" s="13"/>
      <c r="AC1732" s="13"/>
      <c r="AD1732" s="13"/>
      <c r="AE1732" s="13"/>
      <c r="AF1732" s="13"/>
      <c r="AG1732" s="13"/>
    </row>
    <row r="1733" spans="1:33" s="14" customFormat="1">
      <c r="A1733" s="10">
        <v>43349</v>
      </c>
      <c r="B1733" s="3" t="s">
        <v>353</v>
      </c>
      <c r="C1733" s="15" t="s">
        <v>47</v>
      </c>
      <c r="D1733" s="15">
        <v>165</v>
      </c>
      <c r="E1733" s="11">
        <v>4500</v>
      </c>
      <c r="F1733" s="3" t="s">
        <v>8</v>
      </c>
      <c r="G1733" s="46">
        <v>5.8</v>
      </c>
      <c r="H1733" s="3">
        <v>6.2</v>
      </c>
      <c r="I1733" s="46">
        <v>0</v>
      </c>
      <c r="J1733" s="55">
        <v>0</v>
      </c>
      <c r="K1733" s="1">
        <f t="shared" si="2523"/>
        <v>1800.0000000000016</v>
      </c>
      <c r="L1733" s="51">
        <v>0</v>
      </c>
      <c r="M1733" s="52">
        <v>0</v>
      </c>
      <c r="N1733" s="2">
        <f t="shared" si="2466"/>
        <v>0.40000000000000036</v>
      </c>
      <c r="O1733" s="2">
        <f t="shared" si="2481"/>
        <v>1800.0000000000016</v>
      </c>
      <c r="P1733" s="13"/>
      <c r="Q1733" s="13"/>
      <c r="R1733" s="13"/>
      <c r="S1733" s="13"/>
      <c r="T1733" s="13"/>
      <c r="U1733" s="13"/>
      <c r="V1733" s="13"/>
      <c r="W1733" s="13"/>
      <c r="X1733" s="13"/>
      <c r="Y1733" s="13"/>
      <c r="Z1733" s="13"/>
      <c r="AA1733" s="13"/>
      <c r="AB1733" s="13"/>
      <c r="AC1733" s="13"/>
      <c r="AD1733" s="13"/>
      <c r="AE1733" s="13"/>
      <c r="AF1733" s="13"/>
      <c r="AG1733" s="13"/>
    </row>
    <row r="1734" spans="1:33" s="14" customFormat="1">
      <c r="A1734" s="10">
        <v>43349</v>
      </c>
      <c r="B1734" s="3" t="s">
        <v>248</v>
      </c>
      <c r="C1734" s="15" t="s">
        <v>47</v>
      </c>
      <c r="D1734" s="15">
        <v>370</v>
      </c>
      <c r="E1734" s="11">
        <v>1300</v>
      </c>
      <c r="F1734" s="3" t="s">
        <v>8</v>
      </c>
      <c r="G1734" s="46">
        <v>11.9</v>
      </c>
      <c r="H1734" s="3">
        <v>13</v>
      </c>
      <c r="I1734" s="46">
        <v>0</v>
      </c>
      <c r="J1734" s="55">
        <v>0</v>
      </c>
      <c r="K1734" s="1">
        <f t="shared" ref="K1734" si="2524">(IF(F1734="SELL",G1734-H1734,IF(F1734="BUY",H1734-G1734)))*E1734</f>
        <v>1429.9999999999995</v>
      </c>
      <c r="L1734" s="51">
        <v>0</v>
      </c>
      <c r="M1734" s="52">
        <v>0</v>
      </c>
      <c r="N1734" s="2">
        <f t="shared" si="2466"/>
        <v>1.0999999999999996</v>
      </c>
      <c r="O1734" s="2">
        <f t="shared" si="2481"/>
        <v>1429.9999999999995</v>
      </c>
      <c r="P1734" s="13"/>
      <c r="Q1734" s="13"/>
      <c r="R1734" s="13"/>
      <c r="S1734" s="13"/>
      <c r="T1734" s="13"/>
      <c r="U1734" s="13"/>
      <c r="V1734" s="13"/>
      <c r="W1734" s="13"/>
      <c r="X1734" s="13"/>
      <c r="Y1734" s="13"/>
      <c r="Z1734" s="13"/>
      <c r="AA1734" s="13"/>
      <c r="AB1734" s="13"/>
      <c r="AC1734" s="13"/>
      <c r="AD1734" s="13"/>
      <c r="AE1734" s="13"/>
      <c r="AF1734" s="13"/>
      <c r="AG1734" s="13"/>
    </row>
    <row r="1735" spans="1:33" s="14" customFormat="1">
      <c r="A1735" s="10">
        <v>43348</v>
      </c>
      <c r="B1735" s="3" t="s">
        <v>361</v>
      </c>
      <c r="C1735" s="15" t="s">
        <v>47</v>
      </c>
      <c r="D1735" s="15">
        <v>52.5</v>
      </c>
      <c r="E1735" s="11">
        <v>7000</v>
      </c>
      <c r="F1735" s="3" t="s">
        <v>8</v>
      </c>
      <c r="G1735" s="46">
        <v>3</v>
      </c>
      <c r="H1735" s="3">
        <v>3.25</v>
      </c>
      <c r="I1735" s="46">
        <v>3.75</v>
      </c>
      <c r="J1735" s="55">
        <v>0</v>
      </c>
      <c r="K1735" s="1">
        <f t="shared" ref="K1735" si="2525">(IF(F1735="SELL",G1735-H1735,IF(F1735="BUY",H1735-G1735)))*E1735</f>
        <v>1750</v>
      </c>
      <c r="L1735" s="51">
        <f t="shared" ref="L1735:L1736" si="2526">(IF(F1735="SELL",IF(I1735="",0,H1735-I1735),IF(F1735="BUY",IF(I1735="",0,I1735-H1735))))*E1735</f>
        <v>3500</v>
      </c>
      <c r="M1735" s="52">
        <v>0</v>
      </c>
      <c r="N1735" s="2">
        <f t="shared" si="2466"/>
        <v>0.75</v>
      </c>
      <c r="O1735" s="2">
        <f t="shared" si="2481"/>
        <v>5250</v>
      </c>
      <c r="P1735" s="13"/>
      <c r="Q1735" s="13"/>
      <c r="R1735" s="13"/>
      <c r="S1735" s="13"/>
      <c r="T1735" s="13"/>
      <c r="U1735" s="13"/>
      <c r="V1735" s="13"/>
      <c r="W1735" s="13"/>
      <c r="X1735" s="13"/>
      <c r="Y1735" s="13"/>
      <c r="Z1735" s="13"/>
      <c r="AA1735" s="13"/>
      <c r="AB1735" s="13"/>
      <c r="AC1735" s="13"/>
      <c r="AD1735" s="13"/>
      <c r="AE1735" s="13"/>
      <c r="AF1735" s="13"/>
      <c r="AG1735" s="13"/>
    </row>
    <row r="1736" spans="1:33" s="14" customFormat="1">
      <c r="A1736" s="10">
        <v>43348</v>
      </c>
      <c r="B1736" s="3" t="s">
        <v>140</v>
      </c>
      <c r="C1736" s="15" t="s">
        <v>47</v>
      </c>
      <c r="D1736" s="15">
        <v>340</v>
      </c>
      <c r="E1736" s="11">
        <v>1750</v>
      </c>
      <c r="F1736" s="3" t="s">
        <v>8</v>
      </c>
      <c r="G1736" s="46">
        <v>12.55</v>
      </c>
      <c r="H1736" s="3">
        <v>13.55</v>
      </c>
      <c r="I1736" s="46">
        <v>16</v>
      </c>
      <c r="J1736" s="55">
        <v>0</v>
      </c>
      <c r="K1736" s="1">
        <f t="shared" ref="K1736" si="2527">(IF(F1736="SELL",G1736-H1736,IF(F1736="BUY",H1736-G1736)))*E1736</f>
        <v>1750</v>
      </c>
      <c r="L1736" s="51">
        <f t="shared" si="2526"/>
        <v>4287.4999999999991</v>
      </c>
      <c r="M1736" s="52">
        <v>0</v>
      </c>
      <c r="N1736" s="2">
        <f t="shared" si="2466"/>
        <v>3.4499999999999993</v>
      </c>
      <c r="O1736" s="2">
        <f t="shared" si="2481"/>
        <v>6037.4999999999991</v>
      </c>
      <c r="P1736" s="13"/>
      <c r="Q1736" s="13"/>
      <c r="R1736" s="13"/>
      <c r="S1736" s="13"/>
      <c r="T1736" s="13"/>
      <c r="U1736" s="13"/>
      <c r="V1736" s="13"/>
      <c r="W1736" s="13"/>
      <c r="X1736" s="13"/>
      <c r="Y1736" s="13"/>
      <c r="Z1736" s="13"/>
      <c r="AA1736" s="13"/>
      <c r="AB1736" s="13"/>
      <c r="AC1736" s="13"/>
      <c r="AD1736" s="13"/>
      <c r="AE1736" s="13"/>
      <c r="AF1736" s="13"/>
      <c r="AG1736" s="13"/>
    </row>
    <row r="1737" spans="1:33" s="14" customFormat="1">
      <c r="A1737" s="10">
        <v>43347</v>
      </c>
      <c r="B1737" s="3" t="s">
        <v>360</v>
      </c>
      <c r="C1737" s="15" t="s">
        <v>47</v>
      </c>
      <c r="D1737" s="15">
        <v>80</v>
      </c>
      <c r="E1737" s="11">
        <v>7000</v>
      </c>
      <c r="F1737" s="3" t="s">
        <v>8</v>
      </c>
      <c r="G1737" s="46">
        <v>2.1</v>
      </c>
      <c r="H1737" s="3">
        <v>2.4</v>
      </c>
      <c r="I1737" s="46">
        <v>0</v>
      </c>
      <c r="J1737" s="55">
        <v>0</v>
      </c>
      <c r="K1737" s="1">
        <f t="shared" ref="K1737:K1738" si="2528">(IF(F1737="SELL",G1737-H1737,IF(F1737="BUY",H1737-G1737)))*E1737</f>
        <v>2099.9999999999986</v>
      </c>
      <c r="L1737" s="51">
        <v>0</v>
      </c>
      <c r="M1737" s="52">
        <v>0</v>
      </c>
      <c r="N1737" s="2">
        <f t="shared" si="2466"/>
        <v>0.29999999999999982</v>
      </c>
      <c r="O1737" s="2">
        <f t="shared" si="2481"/>
        <v>2099.9999999999986</v>
      </c>
      <c r="P1737" s="13"/>
      <c r="Q1737" s="13"/>
      <c r="R1737" s="13"/>
      <c r="S1737" s="13"/>
      <c r="T1737" s="13"/>
      <c r="U1737" s="13"/>
      <c r="V1737" s="13"/>
      <c r="W1737" s="13"/>
      <c r="X1737" s="13"/>
      <c r="Y1737" s="13"/>
      <c r="Z1737" s="13"/>
      <c r="AA1737" s="13"/>
      <c r="AB1737" s="13"/>
      <c r="AC1737" s="13"/>
      <c r="AD1737" s="13"/>
      <c r="AE1737" s="13"/>
      <c r="AF1737" s="13"/>
      <c r="AG1737" s="13"/>
    </row>
    <row r="1738" spans="1:33" s="14" customFormat="1">
      <c r="A1738" s="10">
        <v>43347</v>
      </c>
      <c r="B1738" s="3" t="s">
        <v>157</v>
      </c>
      <c r="C1738" s="15" t="s">
        <v>47</v>
      </c>
      <c r="D1738" s="15">
        <v>900</v>
      </c>
      <c r="E1738" s="11">
        <v>750</v>
      </c>
      <c r="F1738" s="3" t="s">
        <v>8</v>
      </c>
      <c r="G1738" s="46">
        <v>30.5</v>
      </c>
      <c r="H1738" s="3">
        <v>26</v>
      </c>
      <c r="I1738" s="46">
        <v>0</v>
      </c>
      <c r="J1738" s="55">
        <v>0</v>
      </c>
      <c r="K1738" s="1">
        <f t="shared" si="2528"/>
        <v>-3375</v>
      </c>
      <c r="L1738" s="51">
        <v>0</v>
      </c>
      <c r="M1738" s="52">
        <v>0</v>
      </c>
      <c r="N1738" s="2">
        <f t="shared" si="2466"/>
        <v>-4.5</v>
      </c>
      <c r="O1738" s="2">
        <f t="shared" si="2481"/>
        <v>-3375</v>
      </c>
      <c r="P1738" s="13"/>
      <c r="Q1738" s="13"/>
      <c r="R1738" s="13"/>
      <c r="S1738" s="13"/>
      <c r="T1738" s="13"/>
      <c r="U1738" s="13"/>
      <c r="V1738" s="13"/>
      <c r="W1738" s="13"/>
      <c r="X1738" s="13"/>
      <c r="Y1738" s="13"/>
      <c r="Z1738" s="13"/>
      <c r="AA1738" s="13"/>
      <c r="AB1738" s="13"/>
      <c r="AC1738" s="13"/>
      <c r="AD1738" s="13"/>
      <c r="AE1738" s="13"/>
      <c r="AF1738" s="13"/>
      <c r="AG1738" s="13"/>
    </row>
    <row r="1739" spans="1:33" s="14" customFormat="1">
      <c r="A1739" s="10">
        <v>43347</v>
      </c>
      <c r="B1739" s="3" t="s">
        <v>140</v>
      </c>
      <c r="C1739" s="15" t="s">
        <v>47</v>
      </c>
      <c r="D1739" s="15">
        <v>350</v>
      </c>
      <c r="E1739" s="11">
        <v>1750</v>
      </c>
      <c r="F1739" s="3" t="s">
        <v>8</v>
      </c>
      <c r="G1739" s="46">
        <v>11</v>
      </c>
      <c r="H1739" s="3">
        <v>8.5</v>
      </c>
      <c r="I1739" s="46">
        <v>0</v>
      </c>
      <c r="J1739" s="55">
        <v>0</v>
      </c>
      <c r="K1739" s="1">
        <f t="shared" ref="K1739" si="2529">(IF(F1739="SELL",G1739-H1739,IF(F1739="BUY",H1739-G1739)))*E1739</f>
        <v>-4375</v>
      </c>
      <c r="L1739" s="51">
        <v>0</v>
      </c>
      <c r="M1739" s="52">
        <v>0</v>
      </c>
      <c r="N1739" s="2">
        <f t="shared" si="2466"/>
        <v>-2.5</v>
      </c>
      <c r="O1739" s="2">
        <f t="shared" si="2481"/>
        <v>-4375</v>
      </c>
      <c r="P1739" s="13"/>
      <c r="Q1739" s="13"/>
      <c r="R1739" s="13"/>
      <c r="S1739" s="13"/>
      <c r="T1739" s="13"/>
      <c r="U1739" s="13"/>
      <c r="V1739" s="13"/>
      <c r="W1739" s="13"/>
      <c r="X1739" s="13"/>
      <c r="Y1739" s="13"/>
      <c r="Z1739" s="13"/>
      <c r="AA1739" s="13"/>
      <c r="AB1739" s="13"/>
      <c r="AC1739" s="13"/>
      <c r="AD1739" s="13"/>
      <c r="AE1739" s="13"/>
      <c r="AF1739" s="13"/>
      <c r="AG1739" s="13"/>
    </row>
    <row r="1740" spans="1:33" s="14" customFormat="1">
      <c r="A1740" s="10">
        <v>43346</v>
      </c>
      <c r="B1740" s="3" t="s">
        <v>359</v>
      </c>
      <c r="C1740" s="15" t="s">
        <v>47</v>
      </c>
      <c r="D1740" s="15">
        <v>2800</v>
      </c>
      <c r="E1740" s="11">
        <v>250</v>
      </c>
      <c r="F1740" s="3" t="s">
        <v>8</v>
      </c>
      <c r="G1740" s="46">
        <v>68.5</v>
      </c>
      <c r="H1740" s="3">
        <v>74</v>
      </c>
      <c r="I1740" s="46">
        <v>80</v>
      </c>
      <c r="J1740" s="55">
        <v>0</v>
      </c>
      <c r="K1740" s="1">
        <f t="shared" ref="K1740" si="2530">(IF(F1740="SELL",G1740-H1740,IF(F1740="BUY",H1740-G1740)))*E1740</f>
        <v>1375</v>
      </c>
      <c r="L1740" s="51">
        <f t="shared" ref="L1740" si="2531">(IF(F1740="SELL",IF(I1740="",0,H1740-I1740),IF(F1740="BUY",IF(I1740="",0,I1740-H1740))))*E1740</f>
        <v>1500</v>
      </c>
      <c r="M1740" s="52">
        <v>0</v>
      </c>
      <c r="N1740" s="2">
        <f t="shared" si="2466"/>
        <v>11.5</v>
      </c>
      <c r="O1740" s="2">
        <f t="shared" si="2481"/>
        <v>2875</v>
      </c>
      <c r="P1740" s="13"/>
      <c r="Q1740" s="13"/>
      <c r="R1740" s="13"/>
      <c r="S1740" s="13"/>
      <c r="T1740" s="13"/>
      <c r="U1740" s="13"/>
      <c r="V1740" s="13"/>
      <c r="W1740" s="13"/>
      <c r="X1740" s="13"/>
      <c r="Y1740" s="13"/>
      <c r="Z1740" s="13"/>
      <c r="AA1740" s="13"/>
      <c r="AB1740" s="13"/>
      <c r="AC1740" s="13"/>
      <c r="AD1740" s="13"/>
      <c r="AE1740" s="13"/>
      <c r="AF1740" s="13"/>
      <c r="AG1740" s="13"/>
    </row>
    <row r="1741" spans="1:33" s="14" customFormat="1">
      <c r="A1741" s="10">
        <v>43346</v>
      </c>
      <c r="B1741" s="3" t="s">
        <v>355</v>
      </c>
      <c r="C1741" s="15" t="s">
        <v>47</v>
      </c>
      <c r="D1741" s="15">
        <v>330</v>
      </c>
      <c r="E1741" s="11">
        <v>1250</v>
      </c>
      <c r="F1741" s="3" t="s">
        <v>8</v>
      </c>
      <c r="G1741" s="46">
        <v>11.5</v>
      </c>
      <c r="H1741" s="3">
        <v>13</v>
      </c>
      <c r="I1741" s="46">
        <v>0</v>
      </c>
      <c r="J1741" s="55">
        <v>0</v>
      </c>
      <c r="K1741" s="1">
        <f t="shared" ref="K1741" si="2532">(IF(F1741="SELL",G1741-H1741,IF(F1741="BUY",H1741-G1741)))*E1741</f>
        <v>1875</v>
      </c>
      <c r="L1741" s="51">
        <v>0</v>
      </c>
      <c r="M1741" s="52">
        <v>0</v>
      </c>
      <c r="N1741" s="2">
        <f t="shared" si="2466"/>
        <v>1.5</v>
      </c>
      <c r="O1741" s="2">
        <f t="shared" si="2481"/>
        <v>1875</v>
      </c>
      <c r="P1741" s="13"/>
      <c r="Q1741" s="13"/>
      <c r="R1741" s="13"/>
      <c r="S1741" s="13"/>
      <c r="T1741" s="13"/>
      <c r="U1741" s="13"/>
      <c r="V1741" s="13"/>
      <c r="W1741" s="13"/>
      <c r="X1741" s="13"/>
      <c r="Y1741" s="13"/>
      <c r="Z1741" s="13"/>
      <c r="AA1741" s="13"/>
      <c r="AB1741" s="13"/>
      <c r="AC1741" s="13"/>
      <c r="AD1741" s="13"/>
      <c r="AE1741" s="13"/>
      <c r="AF1741" s="13"/>
      <c r="AG1741" s="13"/>
    </row>
    <row r="1742" spans="1:33" s="14" customFormat="1">
      <c r="A1742" s="10">
        <v>43346</v>
      </c>
      <c r="B1742" s="3" t="s">
        <v>358</v>
      </c>
      <c r="C1742" s="15" t="s">
        <v>47</v>
      </c>
      <c r="D1742" s="15">
        <v>80</v>
      </c>
      <c r="E1742" s="11">
        <v>7000</v>
      </c>
      <c r="F1742" s="3" t="s">
        <v>8</v>
      </c>
      <c r="G1742" s="46">
        <v>3.7</v>
      </c>
      <c r="H1742" s="3">
        <v>4</v>
      </c>
      <c r="I1742" s="46">
        <v>0</v>
      </c>
      <c r="J1742" s="55">
        <v>0</v>
      </c>
      <c r="K1742" s="1">
        <f t="shared" ref="K1742" si="2533">(IF(F1742="SELL",G1742-H1742,IF(F1742="BUY",H1742-G1742)))*E1742</f>
        <v>2099.9999999999986</v>
      </c>
      <c r="L1742" s="51">
        <v>0</v>
      </c>
      <c r="M1742" s="52">
        <v>0</v>
      </c>
      <c r="N1742" s="2">
        <f t="shared" si="2466"/>
        <v>0.29999999999999982</v>
      </c>
      <c r="O1742" s="2">
        <f t="shared" si="2481"/>
        <v>2099.9999999999986</v>
      </c>
      <c r="P1742" s="13"/>
      <c r="Q1742" s="13"/>
      <c r="R1742" s="13"/>
      <c r="S1742" s="13"/>
      <c r="T1742" s="13"/>
      <c r="U1742" s="13"/>
      <c r="V1742" s="13"/>
      <c r="W1742" s="13"/>
      <c r="X1742" s="13"/>
      <c r="Y1742" s="13"/>
      <c r="Z1742" s="13"/>
      <c r="AA1742" s="13"/>
      <c r="AB1742" s="13"/>
      <c r="AC1742" s="13"/>
      <c r="AD1742" s="13"/>
      <c r="AE1742" s="13"/>
      <c r="AF1742" s="13"/>
      <c r="AG1742" s="13"/>
    </row>
    <row r="1743" spans="1:33" s="14" customFormat="1">
      <c r="A1743" s="10">
        <v>43346</v>
      </c>
      <c r="B1743" s="3" t="s">
        <v>211</v>
      </c>
      <c r="C1743" s="15" t="s">
        <v>47</v>
      </c>
      <c r="D1743" s="15">
        <v>1450</v>
      </c>
      <c r="E1743" s="11">
        <v>750</v>
      </c>
      <c r="F1743" s="3" t="s">
        <v>8</v>
      </c>
      <c r="G1743" s="46">
        <v>38</v>
      </c>
      <c r="H1743" s="3">
        <v>32</v>
      </c>
      <c r="I1743" s="46">
        <v>0</v>
      </c>
      <c r="J1743" s="55">
        <v>0</v>
      </c>
      <c r="K1743" s="1">
        <f t="shared" ref="K1743" si="2534">(IF(F1743="SELL",G1743-H1743,IF(F1743="BUY",H1743-G1743)))*E1743</f>
        <v>-4500</v>
      </c>
      <c r="L1743" s="51">
        <v>0</v>
      </c>
      <c r="M1743" s="52">
        <v>0</v>
      </c>
      <c r="N1743" s="2">
        <f t="shared" si="2466"/>
        <v>-6</v>
      </c>
      <c r="O1743" s="2">
        <f t="shared" si="2481"/>
        <v>-4500</v>
      </c>
      <c r="P1743" s="13"/>
      <c r="Q1743" s="13"/>
      <c r="R1743" s="13"/>
      <c r="S1743" s="13"/>
      <c r="T1743" s="13"/>
      <c r="U1743" s="13"/>
      <c r="V1743" s="13"/>
      <c r="W1743" s="13"/>
      <c r="X1743" s="13"/>
      <c r="Y1743" s="13"/>
      <c r="Z1743" s="13"/>
      <c r="AA1743" s="13"/>
      <c r="AB1743" s="13"/>
      <c r="AC1743" s="13"/>
      <c r="AD1743" s="13"/>
      <c r="AE1743" s="13"/>
      <c r="AF1743" s="13"/>
      <c r="AG1743" s="13"/>
    </row>
    <row r="1744" spans="1:33" s="14" customFormat="1">
      <c r="A1744" s="10">
        <v>43343</v>
      </c>
      <c r="B1744" s="3" t="s">
        <v>357</v>
      </c>
      <c r="C1744" s="15" t="s">
        <v>47</v>
      </c>
      <c r="D1744" s="15">
        <v>1080</v>
      </c>
      <c r="E1744" s="11">
        <v>1200</v>
      </c>
      <c r="F1744" s="3" t="s">
        <v>8</v>
      </c>
      <c r="G1744" s="46">
        <v>43.15</v>
      </c>
      <c r="H1744" s="3">
        <v>45</v>
      </c>
      <c r="I1744" s="46">
        <v>50</v>
      </c>
      <c r="J1744" s="55">
        <v>55</v>
      </c>
      <c r="K1744" s="1">
        <f t="shared" ref="K1744" si="2535">(IF(F1744="SELL",G1744-H1744,IF(F1744="BUY",H1744-G1744)))*E1744</f>
        <v>2220.0000000000018</v>
      </c>
      <c r="L1744" s="51">
        <f t="shared" ref="L1744" si="2536">(IF(F1744="SELL",IF(I1744="",0,H1744-I1744),IF(F1744="BUY",IF(I1744="",0,I1744-H1744))))*E1744</f>
        <v>6000</v>
      </c>
      <c r="M1744" s="52">
        <v>6000</v>
      </c>
      <c r="N1744" s="2">
        <f t="shared" si="2466"/>
        <v>11.850000000000001</v>
      </c>
      <c r="O1744" s="2">
        <f t="shared" si="2481"/>
        <v>14220.000000000002</v>
      </c>
      <c r="P1744" s="13"/>
      <c r="Q1744" s="13"/>
      <c r="R1744" s="13"/>
      <c r="S1744" s="13"/>
      <c r="T1744" s="13"/>
      <c r="U1744" s="13"/>
      <c r="V1744" s="13"/>
      <c r="W1744" s="13"/>
      <c r="X1744" s="13"/>
      <c r="Y1744" s="13"/>
      <c r="Z1744" s="13"/>
      <c r="AA1744" s="13"/>
      <c r="AB1744" s="13"/>
      <c r="AC1744" s="13"/>
      <c r="AD1744" s="13"/>
      <c r="AE1744" s="13"/>
      <c r="AF1744" s="13"/>
      <c r="AG1744" s="13"/>
    </row>
    <row r="1745" spans="1:33" s="14" customFormat="1">
      <c r="A1745" s="10">
        <v>43343</v>
      </c>
      <c r="B1745" s="3" t="s">
        <v>329</v>
      </c>
      <c r="C1745" s="15" t="s">
        <v>47</v>
      </c>
      <c r="D1745" s="15">
        <v>1400</v>
      </c>
      <c r="E1745" s="11">
        <v>750</v>
      </c>
      <c r="F1745" s="3" t="s">
        <v>8</v>
      </c>
      <c r="G1745" s="46">
        <v>39.5</v>
      </c>
      <c r="H1745" s="3">
        <v>42</v>
      </c>
      <c r="I1745" s="46">
        <v>45</v>
      </c>
      <c r="J1745" s="55">
        <v>50</v>
      </c>
      <c r="K1745" s="1">
        <f t="shared" ref="K1745" si="2537">(IF(F1745="SELL",G1745-H1745,IF(F1745="BUY",H1745-G1745)))*E1745</f>
        <v>1875</v>
      </c>
      <c r="L1745" s="51">
        <f t="shared" ref="L1745" si="2538">(IF(F1745="SELL",IF(I1745="",0,H1745-I1745),IF(F1745="BUY",IF(I1745="",0,I1745-H1745))))*E1745</f>
        <v>2250</v>
      </c>
      <c r="M1745" s="52">
        <v>3750</v>
      </c>
      <c r="N1745" s="2">
        <f t="shared" si="2466"/>
        <v>10.5</v>
      </c>
      <c r="O1745" s="2">
        <f t="shared" si="2481"/>
        <v>7875</v>
      </c>
      <c r="P1745" s="13"/>
      <c r="Q1745" s="13"/>
      <c r="R1745" s="13"/>
      <c r="S1745" s="13"/>
      <c r="T1745" s="13"/>
      <c r="U1745" s="13"/>
      <c r="V1745" s="13"/>
      <c r="W1745" s="13"/>
      <c r="X1745" s="13"/>
      <c r="Y1745" s="13"/>
      <c r="Z1745" s="13"/>
      <c r="AA1745" s="13"/>
      <c r="AB1745" s="13"/>
      <c r="AC1745" s="13"/>
      <c r="AD1745" s="13"/>
      <c r="AE1745" s="13"/>
      <c r="AF1745" s="13"/>
      <c r="AG1745" s="13"/>
    </row>
    <row r="1746" spans="1:33" s="14" customFormat="1">
      <c r="A1746" s="10">
        <v>43343</v>
      </c>
      <c r="B1746" s="3" t="s">
        <v>356</v>
      </c>
      <c r="C1746" s="15" t="s">
        <v>47</v>
      </c>
      <c r="D1746" s="15">
        <v>55</v>
      </c>
      <c r="E1746" s="11">
        <v>7000</v>
      </c>
      <c r="F1746" s="3" t="s">
        <v>8</v>
      </c>
      <c r="G1746" s="46">
        <v>4.05</v>
      </c>
      <c r="H1746" s="3">
        <v>4.3</v>
      </c>
      <c r="I1746" s="46">
        <v>0</v>
      </c>
      <c r="J1746" s="55">
        <v>0</v>
      </c>
      <c r="K1746" s="1">
        <f t="shared" ref="K1746" si="2539">(IF(F1746="SELL",G1746-H1746,IF(F1746="BUY",H1746-G1746)))*E1746</f>
        <v>1750</v>
      </c>
      <c r="L1746" s="51">
        <v>0</v>
      </c>
      <c r="M1746" s="52">
        <v>0</v>
      </c>
      <c r="N1746" s="2">
        <f t="shared" si="2466"/>
        <v>0.25</v>
      </c>
      <c r="O1746" s="2">
        <f t="shared" si="2481"/>
        <v>1750</v>
      </c>
      <c r="P1746" s="13"/>
      <c r="Q1746" s="13"/>
      <c r="R1746" s="13"/>
      <c r="S1746" s="13"/>
      <c r="T1746" s="13"/>
      <c r="U1746" s="13"/>
      <c r="V1746" s="13"/>
      <c r="W1746" s="13"/>
      <c r="X1746" s="13"/>
      <c r="Y1746" s="13"/>
      <c r="Z1746" s="13"/>
      <c r="AA1746" s="13"/>
      <c r="AB1746" s="13"/>
      <c r="AC1746" s="13"/>
      <c r="AD1746" s="13"/>
      <c r="AE1746" s="13"/>
      <c r="AF1746" s="13"/>
      <c r="AG1746" s="13"/>
    </row>
    <row r="1747" spans="1:33" s="14" customFormat="1">
      <c r="A1747" s="10">
        <v>43342</v>
      </c>
      <c r="B1747" s="3" t="s">
        <v>348</v>
      </c>
      <c r="C1747" s="15" t="s">
        <v>47</v>
      </c>
      <c r="D1747" s="15">
        <v>120</v>
      </c>
      <c r="E1747" s="11">
        <v>3500</v>
      </c>
      <c r="F1747" s="3" t="s">
        <v>8</v>
      </c>
      <c r="G1747" s="46">
        <v>5</v>
      </c>
      <c r="H1747" s="3">
        <v>5.5</v>
      </c>
      <c r="I1747" s="46">
        <v>6.5</v>
      </c>
      <c r="J1747" s="55">
        <v>0</v>
      </c>
      <c r="K1747" s="1">
        <f t="shared" ref="K1747" si="2540">(IF(F1747="SELL",G1747-H1747,IF(F1747="BUY",H1747-G1747)))*E1747</f>
        <v>1750</v>
      </c>
      <c r="L1747" s="51">
        <f t="shared" ref="L1747" si="2541">(IF(F1747="SELL",IF(I1747="",0,H1747-I1747),IF(F1747="BUY",IF(I1747="",0,I1747-H1747))))*E1747</f>
        <v>3500</v>
      </c>
      <c r="M1747" s="52">
        <v>0</v>
      </c>
      <c r="N1747" s="2">
        <f t="shared" si="2466"/>
        <v>1.5</v>
      </c>
      <c r="O1747" s="2">
        <f t="shared" si="2481"/>
        <v>5250</v>
      </c>
      <c r="P1747" s="13"/>
      <c r="Q1747" s="13"/>
      <c r="R1747" s="13"/>
      <c r="S1747" s="13"/>
      <c r="T1747" s="13"/>
      <c r="U1747" s="13"/>
      <c r="V1747" s="13"/>
      <c r="W1747" s="13"/>
      <c r="X1747" s="13"/>
      <c r="Y1747" s="13"/>
      <c r="Z1747" s="13"/>
      <c r="AA1747" s="13"/>
      <c r="AB1747" s="13"/>
      <c r="AC1747" s="13"/>
      <c r="AD1747" s="13"/>
      <c r="AE1747" s="13"/>
      <c r="AF1747" s="13"/>
      <c r="AG1747" s="13"/>
    </row>
    <row r="1748" spans="1:33" s="14" customFormat="1">
      <c r="A1748" s="10">
        <v>43342</v>
      </c>
      <c r="B1748" s="3" t="s">
        <v>300</v>
      </c>
      <c r="C1748" s="15" t="s">
        <v>47</v>
      </c>
      <c r="D1748" s="15">
        <v>480</v>
      </c>
      <c r="E1748" s="11">
        <v>1250</v>
      </c>
      <c r="F1748" s="3" t="s">
        <v>8</v>
      </c>
      <c r="G1748" s="46">
        <v>9.5</v>
      </c>
      <c r="H1748" s="3">
        <v>11</v>
      </c>
      <c r="I1748" s="46">
        <v>13.5</v>
      </c>
      <c r="J1748" s="55">
        <v>0</v>
      </c>
      <c r="K1748" s="1">
        <f t="shared" ref="K1748" si="2542">(IF(F1748="SELL",G1748-H1748,IF(F1748="BUY",H1748-G1748)))*E1748</f>
        <v>1875</v>
      </c>
      <c r="L1748" s="51">
        <f t="shared" ref="L1748" si="2543">(IF(F1748="SELL",IF(I1748="",0,H1748-I1748),IF(F1748="BUY",IF(I1748="",0,I1748-H1748))))*E1748</f>
        <v>3125</v>
      </c>
      <c r="M1748" s="52">
        <v>0</v>
      </c>
      <c r="N1748" s="2">
        <f t="shared" si="2466"/>
        <v>4</v>
      </c>
      <c r="O1748" s="2">
        <f t="shared" si="2481"/>
        <v>5000</v>
      </c>
      <c r="P1748" s="13"/>
      <c r="Q1748" s="13"/>
      <c r="R1748" s="13"/>
      <c r="S1748" s="13"/>
      <c r="T1748" s="13"/>
      <c r="U1748" s="13"/>
      <c r="V1748" s="13"/>
      <c r="W1748" s="13"/>
      <c r="X1748" s="13"/>
      <c r="Y1748" s="13"/>
      <c r="Z1748" s="13"/>
      <c r="AA1748" s="13"/>
      <c r="AB1748" s="13"/>
      <c r="AC1748" s="13"/>
      <c r="AD1748" s="13"/>
      <c r="AE1748" s="13"/>
      <c r="AF1748" s="13"/>
      <c r="AG1748" s="13"/>
    </row>
    <row r="1749" spans="1:33" s="14" customFormat="1">
      <c r="A1749" s="10">
        <v>43342</v>
      </c>
      <c r="B1749" s="3" t="s">
        <v>354</v>
      </c>
      <c r="C1749" s="15" t="s">
        <v>47</v>
      </c>
      <c r="D1749" s="15">
        <v>1400</v>
      </c>
      <c r="E1749" s="11">
        <v>700</v>
      </c>
      <c r="F1749" s="3" t="s">
        <v>8</v>
      </c>
      <c r="G1749" s="46">
        <v>20</v>
      </c>
      <c r="H1749" s="3">
        <v>22</v>
      </c>
      <c r="I1749" s="46">
        <v>0</v>
      </c>
      <c r="J1749" s="55">
        <v>0</v>
      </c>
      <c r="K1749" s="1">
        <f t="shared" ref="K1749" si="2544">(IF(F1749="SELL",G1749-H1749,IF(F1749="BUY",H1749-G1749)))*E1749</f>
        <v>1400</v>
      </c>
      <c r="L1749" s="51">
        <v>0</v>
      </c>
      <c r="M1749" s="52">
        <v>0</v>
      </c>
      <c r="N1749" s="2">
        <f t="shared" ref="N1749:N1812" si="2545">(L1749+K1749+M1749)/E1749</f>
        <v>2</v>
      </c>
      <c r="O1749" s="2">
        <f t="shared" si="2481"/>
        <v>1400</v>
      </c>
      <c r="P1749" s="13"/>
      <c r="Q1749" s="13"/>
      <c r="R1749" s="13"/>
      <c r="S1749" s="13"/>
      <c r="T1749" s="13"/>
      <c r="U1749" s="13"/>
      <c r="V1749" s="13"/>
      <c r="W1749" s="13"/>
      <c r="X1749" s="13"/>
      <c r="Y1749" s="13"/>
      <c r="Z1749" s="13"/>
      <c r="AA1749" s="13"/>
      <c r="AB1749" s="13"/>
      <c r="AC1749" s="13"/>
      <c r="AD1749" s="13"/>
      <c r="AE1749" s="13"/>
      <c r="AF1749" s="13"/>
      <c r="AG1749" s="13"/>
    </row>
    <row r="1750" spans="1:33" s="14" customFormat="1">
      <c r="A1750" s="10">
        <v>43341</v>
      </c>
      <c r="B1750" s="3" t="s">
        <v>306</v>
      </c>
      <c r="C1750" s="15" t="s">
        <v>47</v>
      </c>
      <c r="D1750" s="15">
        <v>80</v>
      </c>
      <c r="E1750" s="11">
        <v>6000</v>
      </c>
      <c r="F1750" s="3" t="s">
        <v>8</v>
      </c>
      <c r="G1750" s="46">
        <v>3.5</v>
      </c>
      <c r="H1750" s="3">
        <v>3.8</v>
      </c>
      <c r="I1750" s="46">
        <v>4.5</v>
      </c>
      <c r="J1750" s="55">
        <v>5.2</v>
      </c>
      <c r="K1750" s="1">
        <f t="shared" ref="K1750" si="2546">(IF(F1750="SELL",G1750-H1750,IF(F1750="BUY",H1750-G1750)))*E1750</f>
        <v>1799.9999999999989</v>
      </c>
      <c r="L1750" s="51">
        <f t="shared" ref="L1750" si="2547">(IF(F1750="SELL",IF(I1750="",0,H1750-I1750),IF(F1750="BUY",IF(I1750="",0,I1750-H1750))))*E1750</f>
        <v>4200.0000000000009</v>
      </c>
      <c r="M1750" s="52">
        <v>4200</v>
      </c>
      <c r="N1750" s="2">
        <f t="shared" si="2545"/>
        <v>1.7</v>
      </c>
      <c r="O1750" s="2">
        <f t="shared" si="2481"/>
        <v>10200</v>
      </c>
      <c r="P1750" s="13"/>
      <c r="Q1750" s="13"/>
      <c r="R1750" s="13"/>
      <c r="S1750" s="13"/>
      <c r="T1750" s="13"/>
      <c r="U1750" s="13"/>
      <c r="V1750" s="13"/>
      <c r="W1750" s="13"/>
      <c r="X1750" s="13"/>
      <c r="Y1750" s="13"/>
      <c r="Z1750" s="13"/>
      <c r="AA1750" s="13"/>
      <c r="AB1750" s="13"/>
      <c r="AC1750" s="13"/>
      <c r="AD1750" s="13"/>
      <c r="AE1750" s="13"/>
      <c r="AF1750" s="13"/>
      <c r="AG1750" s="13"/>
    </row>
    <row r="1751" spans="1:33" s="14" customFormat="1">
      <c r="A1751" s="10">
        <v>43341</v>
      </c>
      <c r="B1751" s="3" t="s">
        <v>267</v>
      </c>
      <c r="C1751" s="15" t="s">
        <v>47</v>
      </c>
      <c r="D1751" s="15">
        <v>75</v>
      </c>
      <c r="E1751" s="11">
        <v>7500</v>
      </c>
      <c r="F1751" s="3" t="s">
        <v>8</v>
      </c>
      <c r="G1751" s="46">
        <v>3.4</v>
      </c>
      <c r="H1751" s="3">
        <v>3.7</v>
      </c>
      <c r="I1751" s="46">
        <v>4.2</v>
      </c>
      <c r="J1751" s="55">
        <v>5</v>
      </c>
      <c r="K1751" s="1">
        <f t="shared" ref="K1751" si="2548">(IF(F1751="SELL",G1751-H1751,IF(F1751="BUY",H1751-G1751)))*E1751</f>
        <v>2250.0000000000018</v>
      </c>
      <c r="L1751" s="51">
        <f t="shared" ref="L1751" si="2549">(IF(F1751="SELL",IF(I1751="",0,H1751-I1751),IF(F1751="BUY",IF(I1751="",0,I1751-H1751))))*E1751</f>
        <v>3750</v>
      </c>
      <c r="M1751" s="52">
        <v>6000</v>
      </c>
      <c r="N1751" s="2">
        <f t="shared" si="2545"/>
        <v>1.6000000000000003</v>
      </c>
      <c r="O1751" s="2">
        <f t="shared" si="2481"/>
        <v>12000.000000000002</v>
      </c>
      <c r="P1751" s="13"/>
      <c r="Q1751" s="13"/>
      <c r="R1751" s="13"/>
      <c r="S1751" s="13"/>
      <c r="T1751" s="13"/>
      <c r="U1751" s="13"/>
      <c r="V1751" s="13"/>
      <c r="W1751" s="13"/>
      <c r="X1751" s="13"/>
      <c r="Y1751" s="13"/>
      <c r="Z1751" s="13"/>
      <c r="AA1751" s="13"/>
      <c r="AB1751" s="13"/>
      <c r="AC1751" s="13"/>
      <c r="AD1751" s="13"/>
      <c r="AE1751" s="13"/>
      <c r="AF1751" s="13"/>
      <c r="AG1751" s="13"/>
    </row>
    <row r="1752" spans="1:33" s="14" customFormat="1">
      <c r="A1752" s="10">
        <v>43340</v>
      </c>
      <c r="B1752" s="3" t="s">
        <v>272</v>
      </c>
      <c r="C1752" s="15" t="s">
        <v>47</v>
      </c>
      <c r="D1752" s="15">
        <v>75</v>
      </c>
      <c r="E1752" s="11">
        <v>9000</v>
      </c>
      <c r="F1752" s="3" t="s">
        <v>8</v>
      </c>
      <c r="G1752" s="46">
        <v>4.2</v>
      </c>
      <c r="H1752" s="3">
        <v>4.5</v>
      </c>
      <c r="I1752" s="46">
        <v>5</v>
      </c>
      <c r="J1752" s="55">
        <v>0</v>
      </c>
      <c r="K1752" s="1">
        <f t="shared" ref="K1752" si="2550">(IF(F1752="SELL",G1752-H1752,IF(F1752="BUY",H1752-G1752)))*E1752</f>
        <v>2699.9999999999982</v>
      </c>
      <c r="L1752" s="51">
        <f t="shared" ref="L1752" si="2551">(IF(F1752="SELL",IF(I1752="",0,H1752-I1752),IF(F1752="BUY",IF(I1752="",0,I1752-H1752))))*E1752</f>
        <v>4500</v>
      </c>
      <c r="M1752" s="52">
        <v>0</v>
      </c>
      <c r="N1752" s="2">
        <f t="shared" si="2545"/>
        <v>0.79999999999999982</v>
      </c>
      <c r="O1752" s="2">
        <f t="shared" si="2481"/>
        <v>7199.9999999999982</v>
      </c>
      <c r="P1752" s="13"/>
      <c r="Q1752" s="13"/>
      <c r="R1752" s="13"/>
      <c r="S1752" s="13"/>
      <c r="T1752" s="13"/>
      <c r="U1752" s="13"/>
      <c r="V1752" s="13"/>
      <c r="W1752" s="13"/>
      <c r="X1752" s="13"/>
      <c r="Y1752" s="13"/>
      <c r="Z1752" s="13"/>
      <c r="AA1752" s="13"/>
      <c r="AB1752" s="13"/>
      <c r="AC1752" s="13"/>
      <c r="AD1752" s="13"/>
      <c r="AE1752" s="13"/>
      <c r="AF1752" s="13"/>
      <c r="AG1752" s="13"/>
    </row>
    <row r="1753" spans="1:33" s="14" customFormat="1">
      <c r="A1753" s="10">
        <v>43340</v>
      </c>
      <c r="B1753" s="3" t="s">
        <v>353</v>
      </c>
      <c r="C1753" s="15" t="s">
        <v>47</v>
      </c>
      <c r="D1753" s="15">
        <v>180</v>
      </c>
      <c r="E1753" s="11">
        <v>4500</v>
      </c>
      <c r="F1753" s="3" t="s">
        <v>8</v>
      </c>
      <c r="G1753" s="46">
        <v>4</v>
      </c>
      <c r="H1753" s="3">
        <v>4.3</v>
      </c>
      <c r="I1753" s="46">
        <v>5</v>
      </c>
      <c r="J1753" s="55">
        <v>0</v>
      </c>
      <c r="K1753" s="1">
        <f t="shared" ref="K1753" si="2552">(IF(F1753="SELL",G1753-H1753,IF(F1753="BUY",H1753-G1753)))*E1753</f>
        <v>1349.9999999999991</v>
      </c>
      <c r="L1753" s="51">
        <f t="shared" ref="L1753" si="2553">(IF(F1753="SELL",IF(I1753="",0,H1753-I1753),IF(F1753="BUY",IF(I1753="",0,I1753-H1753))))*E1753</f>
        <v>3150.0000000000009</v>
      </c>
      <c r="M1753" s="52">
        <v>0</v>
      </c>
      <c r="N1753" s="2">
        <f t="shared" si="2545"/>
        <v>1</v>
      </c>
      <c r="O1753" s="2">
        <f t="shared" si="2481"/>
        <v>4500</v>
      </c>
      <c r="P1753" s="13"/>
      <c r="Q1753" s="13"/>
      <c r="R1753" s="13"/>
      <c r="S1753" s="13"/>
      <c r="T1753" s="13"/>
      <c r="U1753" s="13"/>
      <c r="V1753" s="13"/>
      <c r="W1753" s="13"/>
      <c r="X1753" s="13"/>
      <c r="Y1753" s="13"/>
      <c r="Z1753" s="13"/>
      <c r="AA1753" s="13"/>
      <c r="AB1753" s="13"/>
      <c r="AC1753" s="13"/>
      <c r="AD1753" s="13"/>
      <c r="AE1753" s="13"/>
      <c r="AF1753" s="13"/>
      <c r="AG1753" s="13"/>
    </row>
    <row r="1754" spans="1:33" s="14" customFormat="1">
      <c r="A1754" s="10">
        <v>43340</v>
      </c>
      <c r="B1754" s="3" t="s">
        <v>190</v>
      </c>
      <c r="C1754" s="15" t="s">
        <v>46</v>
      </c>
      <c r="D1754" s="15">
        <v>1060</v>
      </c>
      <c r="E1754" s="11">
        <v>1100</v>
      </c>
      <c r="F1754" s="3" t="s">
        <v>8</v>
      </c>
      <c r="G1754" s="46">
        <v>10.5</v>
      </c>
      <c r="H1754" s="3">
        <v>6</v>
      </c>
      <c r="I1754" s="46">
        <v>0</v>
      </c>
      <c r="J1754" s="55">
        <v>0</v>
      </c>
      <c r="K1754" s="1">
        <f t="shared" ref="K1754" si="2554">(IF(F1754="SELL",G1754-H1754,IF(F1754="BUY",H1754-G1754)))*E1754</f>
        <v>-4950</v>
      </c>
      <c r="L1754" s="51">
        <v>0</v>
      </c>
      <c r="M1754" s="52">
        <v>0</v>
      </c>
      <c r="N1754" s="2">
        <f t="shared" si="2545"/>
        <v>-4.5</v>
      </c>
      <c r="O1754" s="2">
        <f t="shared" si="2481"/>
        <v>-4950</v>
      </c>
      <c r="P1754" s="13"/>
      <c r="Q1754" s="13"/>
      <c r="R1754" s="13"/>
      <c r="S1754" s="13"/>
      <c r="T1754" s="13"/>
      <c r="U1754" s="13"/>
      <c r="V1754" s="13"/>
      <c r="W1754" s="13"/>
      <c r="X1754" s="13"/>
      <c r="Y1754" s="13"/>
      <c r="Z1754" s="13"/>
      <c r="AA1754" s="13"/>
      <c r="AB1754" s="13"/>
      <c r="AC1754" s="13"/>
      <c r="AD1754" s="13"/>
      <c r="AE1754" s="13"/>
      <c r="AF1754" s="13"/>
      <c r="AG1754" s="13"/>
    </row>
    <row r="1755" spans="1:33" s="14" customFormat="1">
      <c r="A1755" s="10">
        <v>43339</v>
      </c>
      <c r="B1755" s="3" t="s">
        <v>313</v>
      </c>
      <c r="C1755" s="15" t="s">
        <v>47</v>
      </c>
      <c r="D1755" s="15">
        <v>110</v>
      </c>
      <c r="E1755" s="11">
        <v>6000</v>
      </c>
      <c r="F1755" s="3" t="s">
        <v>8</v>
      </c>
      <c r="G1755" s="46">
        <v>5.5</v>
      </c>
      <c r="H1755" s="3">
        <v>6</v>
      </c>
      <c r="I1755" s="46">
        <v>6.5</v>
      </c>
      <c r="J1755" s="55">
        <v>7</v>
      </c>
      <c r="K1755" s="1">
        <f t="shared" ref="K1755" si="2555">(IF(F1755="SELL",G1755-H1755,IF(F1755="BUY",H1755-G1755)))*E1755</f>
        <v>3000</v>
      </c>
      <c r="L1755" s="51">
        <f t="shared" ref="L1755" si="2556">(IF(F1755="SELL",IF(I1755="",0,H1755-I1755),IF(F1755="BUY",IF(I1755="",0,I1755-H1755))))*E1755</f>
        <v>3000</v>
      </c>
      <c r="M1755" s="52">
        <v>3000</v>
      </c>
      <c r="N1755" s="2">
        <f t="shared" si="2545"/>
        <v>1.5</v>
      </c>
      <c r="O1755" s="2">
        <f t="shared" si="2481"/>
        <v>9000</v>
      </c>
      <c r="P1755" s="13"/>
      <c r="Q1755" s="13"/>
      <c r="R1755" s="13"/>
      <c r="S1755" s="13"/>
      <c r="T1755" s="13"/>
      <c r="U1755" s="13"/>
      <c r="V1755" s="13"/>
      <c r="W1755" s="13"/>
      <c r="X1755" s="13"/>
      <c r="Y1755" s="13"/>
      <c r="Z1755" s="13"/>
      <c r="AA1755" s="13"/>
      <c r="AB1755" s="13"/>
      <c r="AC1755" s="13"/>
      <c r="AD1755" s="13"/>
      <c r="AE1755" s="13"/>
      <c r="AF1755" s="13"/>
      <c r="AG1755" s="13"/>
    </row>
    <row r="1756" spans="1:33" s="14" customFormat="1">
      <c r="A1756" s="10">
        <v>43339</v>
      </c>
      <c r="B1756" s="3" t="s">
        <v>248</v>
      </c>
      <c r="C1756" s="15" t="s">
        <v>47</v>
      </c>
      <c r="D1756" s="15">
        <v>380</v>
      </c>
      <c r="E1756" s="11">
        <v>1300</v>
      </c>
      <c r="F1756" s="3" t="s">
        <v>8</v>
      </c>
      <c r="G1756" s="46">
        <v>4.95</v>
      </c>
      <c r="H1756" s="3">
        <v>6</v>
      </c>
      <c r="I1756" s="46">
        <v>0</v>
      </c>
      <c r="J1756" s="55">
        <v>0</v>
      </c>
      <c r="K1756" s="1">
        <f t="shared" ref="K1756" si="2557">(IF(F1756="SELL",G1756-H1756,IF(F1756="BUY",H1756-G1756)))*E1756</f>
        <v>1364.9999999999998</v>
      </c>
      <c r="L1756" s="51">
        <v>0</v>
      </c>
      <c r="M1756" s="52">
        <v>0</v>
      </c>
      <c r="N1756" s="2">
        <f t="shared" si="2545"/>
        <v>1.0499999999999998</v>
      </c>
      <c r="O1756" s="2">
        <f t="shared" si="2481"/>
        <v>1364.9999999999998</v>
      </c>
      <c r="P1756" s="13"/>
      <c r="Q1756" s="13"/>
      <c r="R1756" s="13"/>
      <c r="S1756" s="13"/>
      <c r="T1756" s="13"/>
      <c r="U1756" s="13"/>
      <c r="V1756" s="13"/>
      <c r="W1756" s="13"/>
      <c r="X1756" s="13"/>
      <c r="Y1756" s="13"/>
      <c r="Z1756" s="13"/>
      <c r="AA1756" s="13"/>
      <c r="AB1756" s="13"/>
      <c r="AC1756" s="13"/>
      <c r="AD1756" s="13"/>
      <c r="AE1756" s="13"/>
      <c r="AF1756" s="13"/>
      <c r="AG1756" s="13"/>
    </row>
    <row r="1757" spans="1:33" s="14" customFormat="1">
      <c r="A1757" s="10">
        <v>43336</v>
      </c>
      <c r="B1757" s="3" t="s">
        <v>121</v>
      </c>
      <c r="C1757" s="15" t="s">
        <v>47</v>
      </c>
      <c r="D1757" s="15">
        <v>820</v>
      </c>
      <c r="E1757" s="11">
        <v>800</v>
      </c>
      <c r="F1757" s="3" t="s">
        <v>8</v>
      </c>
      <c r="G1757" s="46">
        <v>15</v>
      </c>
      <c r="H1757" s="3">
        <v>18</v>
      </c>
      <c r="I1757" s="46">
        <v>0</v>
      </c>
      <c r="J1757" s="55">
        <v>0</v>
      </c>
      <c r="K1757" s="1">
        <f t="shared" ref="K1757" si="2558">(IF(F1757="SELL",G1757-H1757,IF(F1757="BUY",H1757-G1757)))*E1757</f>
        <v>2400</v>
      </c>
      <c r="L1757" s="51">
        <v>0</v>
      </c>
      <c r="M1757" s="52">
        <v>0</v>
      </c>
      <c r="N1757" s="2">
        <f t="shared" si="2545"/>
        <v>3</v>
      </c>
      <c r="O1757" s="2">
        <f t="shared" si="2481"/>
        <v>2400</v>
      </c>
      <c r="P1757" s="13"/>
      <c r="Q1757" s="13"/>
      <c r="R1757" s="13"/>
      <c r="S1757" s="13"/>
      <c r="T1757" s="13"/>
      <c r="U1757" s="13"/>
      <c r="V1757" s="13"/>
      <c r="W1757" s="13"/>
      <c r="X1757" s="13"/>
      <c r="Y1757" s="13"/>
      <c r="Z1757" s="13"/>
      <c r="AA1757" s="13"/>
      <c r="AB1757" s="13"/>
      <c r="AC1757" s="13"/>
      <c r="AD1757" s="13"/>
      <c r="AE1757" s="13"/>
      <c r="AF1757" s="13"/>
      <c r="AG1757" s="13"/>
    </row>
    <row r="1758" spans="1:33" s="14" customFormat="1">
      <c r="A1758" s="10">
        <v>43336</v>
      </c>
      <c r="B1758" s="3" t="s">
        <v>154</v>
      </c>
      <c r="C1758" s="15" t="s">
        <v>47</v>
      </c>
      <c r="D1758" s="15">
        <v>360</v>
      </c>
      <c r="E1758" s="11">
        <v>1800</v>
      </c>
      <c r="F1758" s="3" t="s">
        <v>8</v>
      </c>
      <c r="G1758" s="46">
        <v>12.5</v>
      </c>
      <c r="H1758" s="3">
        <v>0</v>
      </c>
      <c r="I1758" s="46">
        <v>0</v>
      </c>
      <c r="J1758" s="55">
        <v>0</v>
      </c>
      <c r="K1758" s="1">
        <v>0</v>
      </c>
      <c r="L1758" s="51">
        <f t="shared" ref="L1758" si="2559">(IF(F1758="SELL",IF(I1758="",0,H1758-I1758),IF(F1758="BUY",IF(I1758="",0,I1758-H1758))))*E1758</f>
        <v>0</v>
      </c>
      <c r="M1758" s="52">
        <v>0</v>
      </c>
      <c r="N1758" s="2">
        <f t="shared" si="2545"/>
        <v>0</v>
      </c>
      <c r="O1758" s="2">
        <f t="shared" si="2481"/>
        <v>0</v>
      </c>
      <c r="P1758" s="13"/>
      <c r="Q1758" s="13"/>
      <c r="R1758" s="13"/>
      <c r="S1758" s="13"/>
      <c r="T1758" s="13"/>
      <c r="U1758" s="13"/>
      <c r="V1758" s="13"/>
      <c r="W1758" s="13"/>
      <c r="X1758" s="13"/>
      <c r="Y1758" s="13"/>
      <c r="Z1758" s="13"/>
      <c r="AA1758" s="13"/>
      <c r="AB1758" s="13"/>
      <c r="AC1758" s="13"/>
      <c r="AD1758" s="13"/>
      <c r="AE1758" s="13"/>
      <c r="AF1758" s="13"/>
      <c r="AG1758" s="13"/>
    </row>
    <row r="1759" spans="1:33" s="14" customFormat="1">
      <c r="A1759" s="10">
        <v>43335</v>
      </c>
      <c r="B1759" s="3" t="s">
        <v>121</v>
      </c>
      <c r="C1759" s="15" t="s">
        <v>47</v>
      </c>
      <c r="D1759" s="15">
        <v>800</v>
      </c>
      <c r="E1759" s="11">
        <v>800</v>
      </c>
      <c r="F1759" s="3" t="s">
        <v>8</v>
      </c>
      <c r="G1759" s="46">
        <v>19.3</v>
      </c>
      <c r="H1759" s="3">
        <v>23.3</v>
      </c>
      <c r="I1759" s="46">
        <v>27.45</v>
      </c>
      <c r="J1759" s="55">
        <v>0</v>
      </c>
      <c r="K1759" s="1">
        <f t="shared" ref="K1759" si="2560">(IF(F1759="SELL",G1759-H1759,IF(F1759="BUY",H1759-G1759)))*E1759</f>
        <v>3200</v>
      </c>
      <c r="L1759" s="51">
        <f t="shared" ref="L1759" si="2561">(IF(F1759="SELL",IF(I1759="",0,H1759-I1759),IF(F1759="BUY",IF(I1759="",0,I1759-H1759))))*E1759</f>
        <v>3319.9999999999991</v>
      </c>
      <c r="M1759" s="52">
        <v>0</v>
      </c>
      <c r="N1759" s="2">
        <f t="shared" si="2545"/>
        <v>8.1499999999999986</v>
      </c>
      <c r="O1759" s="2">
        <f t="shared" si="2481"/>
        <v>6519.9999999999991</v>
      </c>
      <c r="P1759" s="13"/>
      <c r="Q1759" s="13"/>
      <c r="R1759" s="13"/>
      <c r="S1759" s="13"/>
      <c r="T1759" s="13"/>
      <c r="U1759" s="13"/>
      <c r="V1759" s="13"/>
      <c r="W1759" s="13"/>
      <c r="X1759" s="13"/>
      <c r="Y1759" s="13"/>
      <c r="Z1759" s="13"/>
      <c r="AA1759" s="13"/>
      <c r="AB1759" s="13"/>
      <c r="AC1759" s="13"/>
      <c r="AD1759" s="13"/>
      <c r="AE1759" s="13"/>
      <c r="AF1759" s="13"/>
      <c r="AG1759" s="13"/>
    </row>
    <row r="1760" spans="1:33" s="14" customFormat="1">
      <c r="A1760" s="10">
        <v>43335</v>
      </c>
      <c r="B1760" s="3" t="s">
        <v>85</v>
      </c>
      <c r="C1760" s="15" t="s">
        <v>47</v>
      </c>
      <c r="D1760" s="15">
        <v>490</v>
      </c>
      <c r="E1760" s="11">
        <v>1200</v>
      </c>
      <c r="F1760" s="3" t="s">
        <v>8</v>
      </c>
      <c r="G1760" s="46">
        <v>10</v>
      </c>
      <c r="H1760" s="3">
        <v>11</v>
      </c>
      <c r="I1760" s="46">
        <v>0</v>
      </c>
      <c r="J1760" s="55">
        <v>0</v>
      </c>
      <c r="K1760" s="1">
        <f t="shared" ref="K1760" si="2562">(IF(F1760="SELL",G1760-H1760,IF(F1760="BUY",H1760-G1760)))*E1760</f>
        <v>1200</v>
      </c>
      <c r="L1760" s="51">
        <v>0</v>
      </c>
      <c r="M1760" s="52">
        <v>0</v>
      </c>
      <c r="N1760" s="2">
        <f t="shared" si="2545"/>
        <v>1</v>
      </c>
      <c r="O1760" s="2">
        <f t="shared" ref="O1760:O1823" si="2563">N1760*E1760</f>
        <v>1200</v>
      </c>
      <c r="P1760" s="13"/>
      <c r="Q1760" s="13"/>
      <c r="R1760" s="13"/>
      <c r="S1760" s="13"/>
      <c r="T1760" s="13"/>
      <c r="U1760" s="13"/>
      <c r="V1760" s="13"/>
      <c r="W1760" s="13"/>
      <c r="X1760" s="13"/>
      <c r="Y1760" s="13"/>
      <c r="Z1760" s="13"/>
      <c r="AA1760" s="13"/>
      <c r="AB1760" s="13"/>
      <c r="AC1760" s="13"/>
      <c r="AD1760" s="13"/>
      <c r="AE1760" s="13"/>
      <c r="AF1760" s="13"/>
      <c r="AG1760" s="13"/>
    </row>
    <row r="1761" spans="1:33" s="14" customFormat="1">
      <c r="A1761" s="10">
        <v>43333</v>
      </c>
      <c r="B1761" s="3" t="s">
        <v>309</v>
      </c>
      <c r="C1761" s="15" t="s">
        <v>46</v>
      </c>
      <c r="D1761" s="15">
        <v>1950</v>
      </c>
      <c r="E1761" s="11">
        <v>500</v>
      </c>
      <c r="F1761" s="3" t="s">
        <v>8</v>
      </c>
      <c r="G1761" s="46">
        <v>36</v>
      </c>
      <c r="H1761" s="3">
        <v>40</v>
      </c>
      <c r="I1761" s="46">
        <v>45</v>
      </c>
      <c r="J1761" s="55">
        <v>50</v>
      </c>
      <c r="K1761" s="1">
        <f t="shared" ref="K1761" si="2564">(IF(F1761="SELL",G1761-H1761,IF(F1761="BUY",H1761-G1761)))*E1761</f>
        <v>2000</v>
      </c>
      <c r="L1761" s="51">
        <f t="shared" ref="L1761" si="2565">(IF(F1761="SELL",IF(I1761="",0,H1761-I1761),IF(F1761="BUY",IF(I1761="",0,I1761-H1761))))*E1761</f>
        <v>2500</v>
      </c>
      <c r="M1761" s="52">
        <v>2500</v>
      </c>
      <c r="N1761" s="2">
        <f t="shared" si="2545"/>
        <v>14</v>
      </c>
      <c r="O1761" s="2">
        <f t="shared" si="2563"/>
        <v>7000</v>
      </c>
      <c r="P1761" s="13"/>
      <c r="Q1761" s="13"/>
      <c r="R1761" s="13"/>
      <c r="S1761" s="13"/>
      <c r="T1761" s="13"/>
      <c r="U1761" s="13"/>
      <c r="V1761" s="13"/>
      <c r="W1761" s="13"/>
      <c r="X1761" s="13"/>
      <c r="Y1761" s="13"/>
      <c r="Z1761" s="13"/>
      <c r="AA1761" s="13"/>
      <c r="AB1761" s="13"/>
      <c r="AC1761" s="13"/>
      <c r="AD1761" s="13"/>
      <c r="AE1761" s="13"/>
      <c r="AF1761" s="13"/>
      <c r="AG1761" s="13"/>
    </row>
    <row r="1762" spans="1:33" s="14" customFormat="1">
      <c r="A1762" s="10">
        <v>43333</v>
      </c>
      <c r="B1762" s="3" t="s">
        <v>212</v>
      </c>
      <c r="C1762" s="15" t="s">
        <v>47</v>
      </c>
      <c r="D1762" s="15">
        <v>120</v>
      </c>
      <c r="E1762" s="11">
        <v>4950</v>
      </c>
      <c r="F1762" s="3" t="s">
        <v>8</v>
      </c>
      <c r="G1762" s="46">
        <v>3.05</v>
      </c>
      <c r="H1762" s="3">
        <v>3.35</v>
      </c>
      <c r="I1762" s="46">
        <v>0</v>
      </c>
      <c r="J1762" s="55">
        <v>0</v>
      </c>
      <c r="K1762" s="1">
        <f t="shared" ref="K1762" si="2566">(IF(F1762="SELL",G1762-H1762,IF(F1762="BUY",H1762-G1762)))*E1762</f>
        <v>1485.0000000000014</v>
      </c>
      <c r="L1762" s="51">
        <v>0</v>
      </c>
      <c r="M1762" s="52">
        <v>0</v>
      </c>
      <c r="N1762" s="2">
        <f t="shared" si="2545"/>
        <v>0.30000000000000027</v>
      </c>
      <c r="O1762" s="2">
        <f t="shared" si="2563"/>
        <v>1485.0000000000014</v>
      </c>
      <c r="P1762" s="13"/>
      <c r="Q1762" s="13"/>
      <c r="R1762" s="13"/>
      <c r="S1762" s="13"/>
      <c r="T1762" s="13"/>
      <c r="U1762" s="13"/>
      <c r="V1762" s="13"/>
      <c r="W1762" s="13"/>
      <c r="X1762" s="13"/>
      <c r="Y1762" s="13"/>
      <c r="Z1762" s="13"/>
      <c r="AA1762" s="13"/>
      <c r="AB1762" s="13"/>
      <c r="AC1762" s="13"/>
      <c r="AD1762" s="13"/>
      <c r="AE1762" s="13"/>
      <c r="AF1762" s="13"/>
      <c r="AG1762" s="13"/>
    </row>
    <row r="1763" spans="1:33" s="14" customFormat="1">
      <c r="A1763" s="10">
        <v>43332</v>
      </c>
      <c r="B1763" s="3" t="s">
        <v>164</v>
      </c>
      <c r="C1763" s="15" t="s">
        <v>47</v>
      </c>
      <c r="D1763" s="15">
        <v>220</v>
      </c>
      <c r="E1763" s="11">
        <v>1750</v>
      </c>
      <c r="F1763" s="3" t="s">
        <v>8</v>
      </c>
      <c r="G1763" s="46">
        <v>7</v>
      </c>
      <c r="H1763" s="3">
        <v>7.5</v>
      </c>
      <c r="I1763" s="46">
        <v>0</v>
      </c>
      <c r="J1763" s="55">
        <v>0</v>
      </c>
      <c r="K1763" s="1">
        <f t="shared" ref="K1763" si="2567">(IF(F1763="SELL",G1763-H1763,IF(F1763="BUY",H1763-G1763)))*E1763</f>
        <v>875</v>
      </c>
      <c r="L1763" s="51">
        <v>0</v>
      </c>
      <c r="M1763" s="52">
        <v>0</v>
      </c>
      <c r="N1763" s="2">
        <f t="shared" si="2545"/>
        <v>0.5</v>
      </c>
      <c r="O1763" s="2">
        <f t="shared" si="2563"/>
        <v>875</v>
      </c>
      <c r="P1763" s="13"/>
      <c r="Q1763" s="13"/>
      <c r="R1763" s="13"/>
      <c r="S1763" s="13"/>
      <c r="T1763" s="13"/>
      <c r="U1763" s="13"/>
      <c r="V1763" s="13"/>
      <c r="W1763" s="13"/>
      <c r="X1763" s="13"/>
      <c r="Y1763" s="13"/>
      <c r="Z1763" s="13"/>
      <c r="AA1763" s="13"/>
      <c r="AB1763" s="13"/>
      <c r="AC1763" s="13"/>
      <c r="AD1763" s="13"/>
      <c r="AE1763" s="13"/>
      <c r="AF1763" s="13"/>
      <c r="AG1763" s="13"/>
    </row>
    <row r="1764" spans="1:33" s="14" customFormat="1">
      <c r="A1764" s="10">
        <v>43332</v>
      </c>
      <c r="B1764" s="3" t="s">
        <v>212</v>
      </c>
      <c r="C1764" s="15" t="s">
        <v>47</v>
      </c>
      <c r="D1764" s="15">
        <v>115</v>
      </c>
      <c r="E1764" s="11">
        <v>4950</v>
      </c>
      <c r="F1764" s="3" t="s">
        <v>8</v>
      </c>
      <c r="G1764" s="46">
        <v>2.85</v>
      </c>
      <c r="H1764" s="3">
        <v>0</v>
      </c>
      <c r="I1764" s="46">
        <v>0</v>
      </c>
      <c r="J1764" s="55">
        <v>0</v>
      </c>
      <c r="K1764" s="1">
        <v>0</v>
      </c>
      <c r="L1764" s="51">
        <v>0</v>
      </c>
      <c r="M1764" s="52">
        <v>0</v>
      </c>
      <c r="N1764" s="2">
        <f t="shared" si="2545"/>
        <v>0</v>
      </c>
      <c r="O1764" s="2">
        <f t="shared" si="2563"/>
        <v>0</v>
      </c>
      <c r="P1764" s="13"/>
      <c r="Q1764" s="13"/>
      <c r="R1764" s="13"/>
      <c r="S1764" s="13"/>
      <c r="T1764" s="13"/>
      <c r="U1764" s="13"/>
      <c r="V1764" s="13"/>
      <c r="W1764" s="13"/>
      <c r="X1764" s="13"/>
      <c r="Y1764" s="13"/>
      <c r="Z1764" s="13"/>
      <c r="AA1764" s="13"/>
      <c r="AB1764" s="13"/>
      <c r="AC1764" s="13"/>
      <c r="AD1764" s="13"/>
      <c r="AE1764" s="13"/>
      <c r="AF1764" s="13"/>
      <c r="AG1764" s="13"/>
    </row>
    <row r="1765" spans="1:33" s="14" customFormat="1">
      <c r="A1765" s="10">
        <v>43329</v>
      </c>
      <c r="B1765" s="3" t="s">
        <v>286</v>
      </c>
      <c r="C1765" s="15" t="s">
        <v>47</v>
      </c>
      <c r="D1765" s="15">
        <v>1780</v>
      </c>
      <c r="E1765" s="11">
        <v>600</v>
      </c>
      <c r="F1765" s="3" t="s">
        <v>8</v>
      </c>
      <c r="G1765" s="46">
        <v>25.5</v>
      </c>
      <c r="H1765" s="3">
        <v>27.5</v>
      </c>
      <c r="I1765" s="46">
        <v>30</v>
      </c>
      <c r="J1765" s="55">
        <v>0</v>
      </c>
      <c r="K1765" s="1">
        <f t="shared" ref="K1765" si="2568">(IF(F1765="SELL",G1765-H1765,IF(F1765="BUY",H1765-G1765)))*E1765</f>
        <v>1200</v>
      </c>
      <c r="L1765" s="51">
        <f t="shared" ref="L1765" si="2569">(IF(F1765="SELL",IF(I1765="",0,H1765-I1765),IF(F1765="BUY",IF(I1765="",0,I1765-H1765))))*E1765</f>
        <v>1500</v>
      </c>
      <c r="M1765" s="52">
        <v>0</v>
      </c>
      <c r="N1765" s="2">
        <f t="shared" si="2545"/>
        <v>4.5</v>
      </c>
      <c r="O1765" s="2">
        <f t="shared" si="2563"/>
        <v>2700</v>
      </c>
      <c r="P1765" s="13"/>
      <c r="Q1765" s="13"/>
      <c r="R1765" s="13"/>
      <c r="S1765" s="13"/>
      <c r="T1765" s="13"/>
      <c r="U1765" s="13"/>
      <c r="V1765" s="13"/>
      <c r="W1765" s="13"/>
      <c r="X1765" s="13"/>
      <c r="Y1765" s="13"/>
      <c r="Z1765" s="13"/>
      <c r="AA1765" s="13"/>
      <c r="AB1765" s="13"/>
      <c r="AC1765" s="13"/>
      <c r="AD1765" s="13"/>
      <c r="AE1765" s="13"/>
      <c r="AF1765" s="13"/>
      <c r="AG1765" s="13"/>
    </row>
    <row r="1766" spans="1:33" s="14" customFormat="1">
      <c r="A1766" s="10">
        <v>43329</v>
      </c>
      <c r="B1766" s="3" t="s">
        <v>345</v>
      </c>
      <c r="C1766" s="15" t="s">
        <v>47</v>
      </c>
      <c r="D1766" s="15">
        <v>440</v>
      </c>
      <c r="E1766" s="11">
        <v>800</v>
      </c>
      <c r="F1766" s="3" t="s">
        <v>8</v>
      </c>
      <c r="G1766" s="46">
        <v>20.149999999999999</v>
      </c>
      <c r="H1766" s="3">
        <v>22</v>
      </c>
      <c r="I1766" s="46">
        <v>0</v>
      </c>
      <c r="J1766" s="55">
        <v>0</v>
      </c>
      <c r="K1766" s="1">
        <f t="shared" ref="K1766" si="2570">(IF(F1766="SELL",G1766-H1766,IF(F1766="BUY",H1766-G1766)))*E1766</f>
        <v>1480.0000000000011</v>
      </c>
      <c r="L1766" s="51">
        <v>0</v>
      </c>
      <c r="M1766" s="52">
        <v>0</v>
      </c>
      <c r="N1766" s="2">
        <f t="shared" si="2545"/>
        <v>1.8500000000000014</v>
      </c>
      <c r="O1766" s="2">
        <f t="shared" si="2563"/>
        <v>1480.0000000000011</v>
      </c>
      <c r="P1766" s="13"/>
      <c r="Q1766" s="13"/>
      <c r="R1766" s="13"/>
      <c r="S1766" s="13"/>
      <c r="T1766" s="13"/>
      <c r="U1766" s="13"/>
      <c r="V1766" s="13"/>
      <c r="W1766" s="13"/>
      <c r="X1766" s="13"/>
      <c r="Y1766" s="13"/>
      <c r="Z1766" s="13"/>
      <c r="AA1766" s="13"/>
      <c r="AB1766" s="13"/>
      <c r="AC1766" s="13"/>
      <c r="AD1766" s="13"/>
      <c r="AE1766" s="13"/>
      <c r="AF1766" s="13"/>
      <c r="AG1766" s="13"/>
    </row>
    <row r="1767" spans="1:33" s="14" customFormat="1">
      <c r="A1767" s="10">
        <v>43329</v>
      </c>
      <c r="B1767" s="3" t="s">
        <v>159</v>
      </c>
      <c r="C1767" s="15" t="s">
        <v>47</v>
      </c>
      <c r="D1767" s="15">
        <v>640</v>
      </c>
      <c r="E1767" s="11">
        <v>1250</v>
      </c>
      <c r="F1767" s="3" t="s">
        <v>8</v>
      </c>
      <c r="G1767" s="46">
        <v>13.1</v>
      </c>
      <c r="H1767" s="3">
        <v>14.1</v>
      </c>
      <c r="I1767" s="46">
        <v>0</v>
      </c>
      <c r="J1767" s="55">
        <v>0</v>
      </c>
      <c r="K1767" s="1">
        <f t="shared" ref="K1767" si="2571">(IF(F1767="SELL",G1767-H1767,IF(F1767="BUY",H1767-G1767)))*E1767</f>
        <v>1250</v>
      </c>
      <c r="L1767" s="51">
        <v>0</v>
      </c>
      <c r="M1767" s="52">
        <v>0</v>
      </c>
      <c r="N1767" s="2">
        <f t="shared" si="2545"/>
        <v>1</v>
      </c>
      <c r="O1767" s="2">
        <f t="shared" si="2563"/>
        <v>1250</v>
      </c>
      <c r="P1767" s="13"/>
      <c r="Q1767" s="13"/>
      <c r="R1767" s="13"/>
      <c r="S1767" s="13"/>
      <c r="T1767" s="13"/>
      <c r="U1767" s="13"/>
      <c r="V1767" s="13"/>
      <c r="W1767" s="13"/>
      <c r="X1767" s="13"/>
      <c r="Y1767" s="13"/>
      <c r="Z1767" s="13"/>
      <c r="AA1767" s="13"/>
      <c r="AB1767" s="13"/>
      <c r="AC1767" s="13"/>
      <c r="AD1767" s="13"/>
      <c r="AE1767" s="13"/>
      <c r="AF1767" s="13"/>
      <c r="AG1767" s="13"/>
    </row>
    <row r="1768" spans="1:33" s="14" customFormat="1">
      <c r="A1768" s="10">
        <v>43329</v>
      </c>
      <c r="B1768" s="3" t="s">
        <v>96</v>
      </c>
      <c r="C1768" s="15" t="s">
        <v>47</v>
      </c>
      <c r="D1768" s="15">
        <v>960</v>
      </c>
      <c r="E1768" s="11">
        <v>1000</v>
      </c>
      <c r="F1768" s="3" t="s">
        <v>8</v>
      </c>
      <c r="G1768" s="46">
        <v>22</v>
      </c>
      <c r="H1768" s="3">
        <v>18</v>
      </c>
      <c r="I1768" s="46">
        <v>0</v>
      </c>
      <c r="J1768" s="55">
        <v>0</v>
      </c>
      <c r="K1768" s="1">
        <f t="shared" ref="K1768" si="2572">(IF(F1768="SELL",G1768-H1768,IF(F1768="BUY",H1768-G1768)))*E1768</f>
        <v>-4000</v>
      </c>
      <c r="L1768" s="51">
        <v>0</v>
      </c>
      <c r="M1768" s="52">
        <v>0</v>
      </c>
      <c r="N1768" s="2">
        <f t="shared" si="2545"/>
        <v>-4</v>
      </c>
      <c r="O1768" s="2">
        <f t="shared" si="2563"/>
        <v>-4000</v>
      </c>
      <c r="P1768" s="13"/>
      <c r="Q1768" s="13"/>
      <c r="R1768" s="13"/>
      <c r="S1768" s="13"/>
      <c r="T1768" s="13"/>
      <c r="U1768" s="13"/>
      <c r="V1768" s="13"/>
      <c r="W1768" s="13"/>
      <c r="X1768" s="13"/>
      <c r="Y1768" s="13"/>
      <c r="Z1768" s="13"/>
      <c r="AA1768" s="13"/>
      <c r="AB1768" s="13"/>
      <c r="AC1768" s="13"/>
      <c r="AD1768" s="13"/>
      <c r="AE1768" s="13"/>
      <c r="AF1768" s="13"/>
      <c r="AG1768" s="13"/>
    </row>
    <row r="1769" spans="1:33" s="14" customFormat="1">
      <c r="A1769" s="10">
        <v>43328</v>
      </c>
      <c r="B1769" s="3" t="s">
        <v>161</v>
      </c>
      <c r="C1769" s="15" t="s">
        <v>47</v>
      </c>
      <c r="D1769" s="15">
        <v>250</v>
      </c>
      <c r="E1769" s="11">
        <v>1500</v>
      </c>
      <c r="F1769" s="3" t="s">
        <v>8</v>
      </c>
      <c r="G1769" s="46">
        <v>6.5</v>
      </c>
      <c r="H1769" s="3">
        <v>7.5</v>
      </c>
      <c r="I1769" s="46">
        <v>0</v>
      </c>
      <c r="J1769" s="55">
        <v>0</v>
      </c>
      <c r="K1769" s="1">
        <f t="shared" ref="K1769:K1770" si="2573">(IF(F1769="SELL",G1769-H1769,IF(F1769="BUY",H1769-G1769)))*E1769</f>
        <v>1500</v>
      </c>
      <c r="L1769" s="51">
        <v>0</v>
      </c>
      <c r="M1769" s="52">
        <v>0</v>
      </c>
      <c r="N1769" s="2">
        <f t="shared" si="2545"/>
        <v>1</v>
      </c>
      <c r="O1769" s="2">
        <f t="shared" si="2563"/>
        <v>1500</v>
      </c>
      <c r="P1769" s="13"/>
      <c r="Q1769" s="13"/>
      <c r="R1769" s="13"/>
      <c r="S1769" s="13"/>
      <c r="T1769" s="13"/>
      <c r="U1769" s="13"/>
      <c r="V1769" s="13"/>
      <c r="W1769" s="13"/>
      <c r="X1769" s="13"/>
      <c r="Y1769" s="13"/>
      <c r="Z1769" s="13"/>
      <c r="AA1769" s="13"/>
      <c r="AB1769" s="13"/>
      <c r="AC1769" s="13"/>
      <c r="AD1769" s="13"/>
      <c r="AE1769" s="13"/>
      <c r="AF1769" s="13"/>
      <c r="AG1769" s="13"/>
    </row>
    <row r="1770" spans="1:33" s="14" customFormat="1">
      <c r="A1770" s="10">
        <v>43328</v>
      </c>
      <c r="B1770" s="3" t="s">
        <v>352</v>
      </c>
      <c r="C1770" s="15" t="s">
        <v>47</v>
      </c>
      <c r="D1770" s="15">
        <v>1440</v>
      </c>
      <c r="E1770" s="11">
        <v>350</v>
      </c>
      <c r="F1770" s="3" t="s">
        <v>8</v>
      </c>
      <c r="G1770" s="46">
        <v>42</v>
      </c>
      <c r="H1770" s="3">
        <v>45</v>
      </c>
      <c r="I1770" s="46">
        <v>0</v>
      </c>
      <c r="J1770" s="55">
        <v>0</v>
      </c>
      <c r="K1770" s="1">
        <f t="shared" si="2573"/>
        <v>1050</v>
      </c>
      <c r="L1770" s="51">
        <v>0</v>
      </c>
      <c r="M1770" s="52">
        <v>0</v>
      </c>
      <c r="N1770" s="2">
        <f t="shared" si="2545"/>
        <v>3</v>
      </c>
      <c r="O1770" s="2">
        <f t="shared" si="2563"/>
        <v>1050</v>
      </c>
      <c r="P1770" s="13"/>
      <c r="Q1770" s="13"/>
      <c r="R1770" s="13"/>
      <c r="S1770" s="13"/>
      <c r="T1770" s="13"/>
      <c r="U1770" s="13"/>
      <c r="V1770" s="13"/>
      <c r="W1770" s="13"/>
      <c r="X1770" s="13"/>
      <c r="Y1770" s="13"/>
      <c r="Z1770" s="13"/>
      <c r="AA1770" s="13"/>
      <c r="AB1770" s="13"/>
      <c r="AC1770" s="13"/>
      <c r="AD1770" s="13"/>
      <c r="AE1770" s="13"/>
      <c r="AF1770" s="13"/>
      <c r="AG1770" s="13"/>
    </row>
    <row r="1771" spans="1:33" s="14" customFormat="1">
      <c r="A1771" s="10">
        <v>43328</v>
      </c>
      <c r="B1771" s="3" t="s">
        <v>267</v>
      </c>
      <c r="C1771" s="15" t="s">
        <v>47</v>
      </c>
      <c r="D1771" s="15">
        <v>75</v>
      </c>
      <c r="E1771" s="11">
        <v>7500</v>
      </c>
      <c r="F1771" s="3" t="s">
        <v>8</v>
      </c>
      <c r="G1771" s="46">
        <v>1.5</v>
      </c>
      <c r="H1771" s="3">
        <v>0</v>
      </c>
      <c r="I1771" s="46">
        <v>0</v>
      </c>
      <c r="J1771" s="55">
        <v>0</v>
      </c>
      <c r="K1771" s="1">
        <v>0</v>
      </c>
      <c r="L1771" s="51">
        <v>0</v>
      </c>
      <c r="M1771" s="52">
        <v>0</v>
      </c>
      <c r="N1771" s="2">
        <f t="shared" si="2545"/>
        <v>0</v>
      </c>
      <c r="O1771" s="2">
        <f t="shared" si="2563"/>
        <v>0</v>
      </c>
      <c r="P1771" s="13"/>
      <c r="Q1771" s="13"/>
      <c r="R1771" s="13"/>
      <c r="S1771" s="13"/>
      <c r="T1771" s="13"/>
      <c r="U1771" s="13"/>
      <c r="V1771" s="13"/>
      <c r="W1771" s="13"/>
      <c r="X1771" s="13"/>
      <c r="Y1771" s="13"/>
      <c r="Z1771" s="13"/>
      <c r="AA1771" s="13"/>
      <c r="AB1771" s="13"/>
      <c r="AC1771" s="13"/>
      <c r="AD1771" s="13"/>
      <c r="AE1771" s="13"/>
      <c r="AF1771" s="13"/>
      <c r="AG1771" s="13"/>
    </row>
    <row r="1772" spans="1:33" s="14" customFormat="1">
      <c r="A1772" s="10">
        <v>43326</v>
      </c>
      <c r="B1772" s="3" t="s">
        <v>211</v>
      </c>
      <c r="C1772" s="15" t="s">
        <v>47</v>
      </c>
      <c r="D1772" s="15">
        <v>1350</v>
      </c>
      <c r="E1772" s="11">
        <v>750</v>
      </c>
      <c r="F1772" s="3" t="s">
        <v>8</v>
      </c>
      <c r="G1772" s="46">
        <v>33</v>
      </c>
      <c r="H1772" s="3">
        <v>35</v>
      </c>
      <c r="I1772" s="46">
        <v>38.5</v>
      </c>
      <c r="J1772" s="55">
        <v>0</v>
      </c>
      <c r="K1772" s="1">
        <f t="shared" ref="K1772" si="2574">(IF(F1772="SELL",G1772-H1772,IF(F1772="BUY",H1772-G1772)))*E1772</f>
        <v>1500</v>
      </c>
      <c r="L1772" s="51">
        <f t="shared" ref="L1772:L1779" si="2575">(IF(F1772="SELL",IF(I1772="",0,H1772-I1772),IF(F1772="BUY",IF(I1772="",0,I1772-H1772))))*E1772</f>
        <v>2625</v>
      </c>
      <c r="M1772" s="52">
        <v>0</v>
      </c>
      <c r="N1772" s="2">
        <f t="shared" si="2545"/>
        <v>5.5</v>
      </c>
      <c r="O1772" s="2">
        <f t="shared" si="2563"/>
        <v>4125</v>
      </c>
      <c r="P1772" s="13"/>
      <c r="Q1772" s="13"/>
      <c r="R1772" s="13"/>
      <c r="S1772" s="13"/>
      <c r="T1772" s="13"/>
      <c r="U1772" s="13"/>
      <c r="V1772" s="13"/>
      <c r="W1772" s="13"/>
      <c r="X1772" s="13"/>
      <c r="Y1772" s="13"/>
      <c r="Z1772" s="13"/>
      <c r="AA1772" s="13"/>
      <c r="AB1772" s="13"/>
      <c r="AC1772" s="13"/>
      <c r="AD1772" s="13"/>
      <c r="AE1772" s="13"/>
      <c r="AF1772" s="13"/>
      <c r="AG1772" s="13"/>
    </row>
    <row r="1773" spans="1:33" s="14" customFormat="1">
      <c r="A1773" s="10">
        <v>43326</v>
      </c>
      <c r="B1773" s="3" t="s">
        <v>337</v>
      </c>
      <c r="C1773" s="15" t="s">
        <v>47</v>
      </c>
      <c r="D1773" s="15">
        <v>1440</v>
      </c>
      <c r="E1773" s="11">
        <v>350</v>
      </c>
      <c r="F1773" s="3" t="s">
        <v>8</v>
      </c>
      <c r="G1773" s="46">
        <v>45</v>
      </c>
      <c r="H1773" s="3">
        <v>50</v>
      </c>
      <c r="I1773" s="46">
        <v>0</v>
      </c>
      <c r="J1773" s="55">
        <v>0</v>
      </c>
      <c r="K1773" s="1">
        <f t="shared" ref="K1773" si="2576">(IF(F1773="SELL",G1773-H1773,IF(F1773="BUY",H1773-G1773)))*E1773</f>
        <v>1750</v>
      </c>
      <c r="L1773" s="51">
        <v>0</v>
      </c>
      <c r="M1773" s="52">
        <v>0</v>
      </c>
      <c r="N1773" s="2">
        <f t="shared" si="2545"/>
        <v>5</v>
      </c>
      <c r="O1773" s="2">
        <f t="shared" si="2563"/>
        <v>1750</v>
      </c>
      <c r="P1773" s="13"/>
      <c r="Q1773" s="13"/>
      <c r="R1773" s="13"/>
      <c r="S1773" s="13"/>
      <c r="T1773" s="13"/>
      <c r="U1773" s="13"/>
      <c r="V1773" s="13"/>
      <c r="W1773" s="13"/>
      <c r="X1773" s="13"/>
      <c r="Y1773" s="13"/>
      <c r="Z1773" s="13"/>
      <c r="AA1773" s="13"/>
      <c r="AB1773" s="13"/>
      <c r="AC1773" s="13"/>
      <c r="AD1773" s="13"/>
      <c r="AE1773" s="13"/>
      <c r="AF1773" s="13"/>
      <c r="AG1773" s="13"/>
    </row>
    <row r="1774" spans="1:33" s="14" customFormat="1">
      <c r="A1774" s="10">
        <v>43325</v>
      </c>
      <c r="B1774" s="3" t="s">
        <v>272</v>
      </c>
      <c r="C1774" s="15" t="s">
        <v>47</v>
      </c>
      <c r="D1774" s="15">
        <v>85</v>
      </c>
      <c r="E1774" s="11">
        <v>9000</v>
      </c>
      <c r="F1774" s="3" t="s">
        <v>8</v>
      </c>
      <c r="G1774" s="46">
        <v>4</v>
      </c>
      <c r="H1774" s="3">
        <v>4.25</v>
      </c>
      <c r="I1774" s="46">
        <v>4.75</v>
      </c>
      <c r="J1774" s="55">
        <v>5.25</v>
      </c>
      <c r="K1774" s="1">
        <f t="shared" ref="K1774" si="2577">(IF(F1774="SELL",G1774-H1774,IF(F1774="BUY",H1774-G1774)))*E1774</f>
        <v>2250</v>
      </c>
      <c r="L1774" s="51">
        <f t="shared" si="2575"/>
        <v>4500</v>
      </c>
      <c r="M1774" s="52">
        <v>4500</v>
      </c>
      <c r="N1774" s="2">
        <f t="shared" si="2545"/>
        <v>1.25</v>
      </c>
      <c r="O1774" s="2">
        <f t="shared" si="2563"/>
        <v>11250</v>
      </c>
      <c r="P1774" s="13"/>
      <c r="Q1774" s="13"/>
      <c r="R1774" s="13"/>
      <c r="S1774" s="13"/>
      <c r="T1774" s="13"/>
      <c r="U1774" s="13"/>
      <c r="V1774" s="13"/>
      <c r="W1774" s="13"/>
      <c r="X1774" s="13"/>
      <c r="Y1774" s="13"/>
      <c r="Z1774" s="13"/>
      <c r="AA1774" s="13"/>
      <c r="AB1774" s="13"/>
      <c r="AC1774" s="13"/>
      <c r="AD1774" s="13"/>
      <c r="AE1774" s="13"/>
      <c r="AF1774" s="13"/>
      <c r="AG1774" s="13"/>
    </row>
    <row r="1775" spans="1:33" s="14" customFormat="1">
      <c r="A1775" s="10">
        <v>43325</v>
      </c>
      <c r="B1775" s="3" t="s">
        <v>351</v>
      </c>
      <c r="C1775" s="15" t="s">
        <v>47</v>
      </c>
      <c r="D1775" s="15">
        <v>960</v>
      </c>
      <c r="E1775" s="11">
        <v>1000</v>
      </c>
      <c r="F1775" s="3" t="s">
        <v>8</v>
      </c>
      <c r="G1775" s="46">
        <v>21</v>
      </c>
      <c r="H1775" s="3">
        <v>22.5</v>
      </c>
      <c r="I1775" s="46">
        <v>24</v>
      </c>
      <c r="J1775" s="55">
        <v>0</v>
      </c>
      <c r="K1775" s="1">
        <f t="shared" ref="K1775" si="2578">(IF(F1775="SELL",G1775-H1775,IF(F1775="BUY",H1775-G1775)))*E1775</f>
        <v>1500</v>
      </c>
      <c r="L1775" s="51">
        <f t="shared" si="2575"/>
        <v>1500</v>
      </c>
      <c r="M1775" s="52">
        <v>0</v>
      </c>
      <c r="N1775" s="2">
        <f t="shared" si="2545"/>
        <v>3</v>
      </c>
      <c r="O1775" s="2">
        <f t="shared" si="2563"/>
        <v>3000</v>
      </c>
      <c r="P1775" s="13"/>
      <c r="Q1775" s="13"/>
      <c r="R1775" s="13"/>
      <c r="S1775" s="13"/>
      <c r="T1775" s="13"/>
      <c r="U1775" s="13"/>
      <c r="V1775" s="13"/>
      <c r="W1775" s="13"/>
      <c r="X1775" s="13"/>
      <c r="Y1775" s="13"/>
      <c r="Z1775" s="13"/>
      <c r="AA1775" s="13"/>
      <c r="AB1775" s="13"/>
      <c r="AC1775" s="13"/>
      <c r="AD1775" s="13"/>
      <c r="AE1775" s="13"/>
      <c r="AF1775" s="13"/>
      <c r="AG1775" s="13"/>
    </row>
    <row r="1776" spans="1:33" s="14" customFormat="1">
      <c r="A1776" s="10">
        <v>43322</v>
      </c>
      <c r="B1776" s="3" t="s">
        <v>218</v>
      </c>
      <c r="C1776" s="15" t="s">
        <v>47</v>
      </c>
      <c r="D1776" s="15">
        <v>640</v>
      </c>
      <c r="E1776" s="11">
        <v>1500</v>
      </c>
      <c r="F1776" s="3" t="s">
        <v>8</v>
      </c>
      <c r="G1776" s="46">
        <v>18</v>
      </c>
      <c r="H1776" s="3">
        <v>19</v>
      </c>
      <c r="I1776" s="46">
        <v>0</v>
      </c>
      <c r="J1776" s="55">
        <v>0</v>
      </c>
      <c r="K1776" s="1">
        <f t="shared" ref="K1776" si="2579">(IF(F1776="SELL",G1776-H1776,IF(F1776="BUY",H1776-G1776)))*E1776</f>
        <v>1500</v>
      </c>
      <c r="L1776" s="51">
        <v>0</v>
      </c>
      <c r="M1776" s="52">
        <v>0</v>
      </c>
      <c r="N1776" s="2">
        <f t="shared" si="2545"/>
        <v>1</v>
      </c>
      <c r="O1776" s="2">
        <f t="shared" si="2563"/>
        <v>1500</v>
      </c>
      <c r="P1776" s="13"/>
      <c r="Q1776" s="13"/>
      <c r="R1776" s="13"/>
      <c r="S1776" s="13"/>
      <c r="T1776" s="13"/>
      <c r="U1776" s="13"/>
      <c r="V1776" s="13"/>
      <c r="W1776" s="13"/>
      <c r="X1776" s="13"/>
      <c r="Y1776" s="13"/>
      <c r="Z1776" s="13"/>
      <c r="AA1776" s="13"/>
      <c r="AB1776" s="13"/>
      <c r="AC1776" s="13"/>
      <c r="AD1776" s="13"/>
      <c r="AE1776" s="13"/>
      <c r="AF1776" s="13"/>
      <c r="AG1776" s="13"/>
    </row>
    <row r="1777" spans="1:33" s="14" customFormat="1">
      <c r="A1777" s="10">
        <v>43322</v>
      </c>
      <c r="B1777" s="3" t="s">
        <v>233</v>
      </c>
      <c r="C1777" s="15" t="s">
        <v>47</v>
      </c>
      <c r="D1777" s="15">
        <v>500</v>
      </c>
      <c r="E1777" s="11">
        <v>1250</v>
      </c>
      <c r="F1777" s="3" t="s">
        <v>8</v>
      </c>
      <c r="G1777" s="46">
        <v>18</v>
      </c>
      <c r="H1777" s="3">
        <v>19</v>
      </c>
      <c r="I1777" s="46">
        <v>20</v>
      </c>
      <c r="J1777" s="55">
        <v>0</v>
      </c>
      <c r="K1777" s="1">
        <f t="shared" ref="K1777" si="2580">(IF(F1777="SELL",G1777-H1777,IF(F1777="BUY",H1777-G1777)))*E1777</f>
        <v>1250</v>
      </c>
      <c r="L1777" s="51">
        <f t="shared" si="2575"/>
        <v>1250</v>
      </c>
      <c r="M1777" s="52">
        <v>0</v>
      </c>
      <c r="N1777" s="2">
        <f t="shared" si="2545"/>
        <v>2</v>
      </c>
      <c r="O1777" s="2">
        <f t="shared" si="2563"/>
        <v>2500</v>
      </c>
      <c r="P1777" s="13"/>
      <c r="Q1777" s="13"/>
      <c r="R1777" s="13"/>
      <c r="S1777" s="13"/>
      <c r="T1777" s="13"/>
      <c r="U1777" s="13"/>
      <c r="V1777" s="13"/>
      <c r="W1777" s="13"/>
      <c r="X1777" s="13"/>
      <c r="Y1777" s="13"/>
      <c r="Z1777" s="13"/>
      <c r="AA1777" s="13"/>
      <c r="AB1777" s="13"/>
      <c r="AC1777" s="13"/>
      <c r="AD1777" s="13"/>
      <c r="AE1777" s="13"/>
      <c r="AF1777" s="13"/>
      <c r="AG1777" s="13"/>
    </row>
    <row r="1778" spans="1:33" s="14" customFormat="1">
      <c r="A1778" s="10">
        <v>43322</v>
      </c>
      <c r="B1778" s="3" t="s">
        <v>235</v>
      </c>
      <c r="C1778" s="15" t="s">
        <v>47</v>
      </c>
      <c r="D1778" s="15">
        <v>100</v>
      </c>
      <c r="E1778" s="11">
        <v>8000</v>
      </c>
      <c r="F1778" s="3" t="s">
        <v>8</v>
      </c>
      <c r="G1778" s="46">
        <v>5.8</v>
      </c>
      <c r="H1778" s="3">
        <v>5</v>
      </c>
      <c r="I1778" s="46">
        <v>0</v>
      </c>
      <c r="J1778" s="55">
        <v>0</v>
      </c>
      <c r="K1778" s="1">
        <f t="shared" ref="K1778" si="2581">(IF(F1778="SELL",G1778-H1778,IF(F1778="BUY",H1778-G1778)))*E1778</f>
        <v>-6399.9999999999982</v>
      </c>
      <c r="L1778" s="51">
        <v>0</v>
      </c>
      <c r="M1778" s="52">
        <v>0</v>
      </c>
      <c r="N1778" s="2">
        <f t="shared" si="2545"/>
        <v>-0.79999999999999982</v>
      </c>
      <c r="O1778" s="2">
        <f t="shared" si="2563"/>
        <v>-6399.9999999999982</v>
      </c>
      <c r="P1778" s="13"/>
      <c r="Q1778" s="13"/>
      <c r="R1778" s="13"/>
      <c r="S1778" s="13"/>
      <c r="T1778" s="13"/>
      <c r="U1778" s="13"/>
      <c r="V1778" s="13"/>
      <c r="W1778" s="13"/>
      <c r="X1778" s="13"/>
      <c r="Y1778" s="13"/>
      <c r="Z1778" s="13"/>
      <c r="AA1778" s="13"/>
      <c r="AB1778" s="13"/>
      <c r="AC1778" s="13"/>
      <c r="AD1778" s="13"/>
      <c r="AE1778" s="13"/>
      <c r="AF1778" s="13"/>
      <c r="AG1778" s="13"/>
    </row>
    <row r="1779" spans="1:33" s="14" customFormat="1">
      <c r="A1779" s="10">
        <v>43321</v>
      </c>
      <c r="B1779" s="3" t="s">
        <v>239</v>
      </c>
      <c r="C1779" s="15" t="s">
        <v>47</v>
      </c>
      <c r="D1779" s="15">
        <v>200</v>
      </c>
      <c r="E1779" s="11">
        <v>2500</v>
      </c>
      <c r="F1779" s="3" t="s">
        <v>8</v>
      </c>
      <c r="G1779" s="46">
        <v>9</v>
      </c>
      <c r="H1779" s="3">
        <v>9.5</v>
      </c>
      <c r="I1779" s="46">
        <v>10.5</v>
      </c>
      <c r="J1779" s="55">
        <v>11.45</v>
      </c>
      <c r="K1779" s="1">
        <f t="shared" ref="K1779" si="2582">(IF(F1779="SELL",G1779-H1779,IF(F1779="BUY",H1779-G1779)))*E1779</f>
        <v>1250</v>
      </c>
      <c r="L1779" s="51">
        <f t="shared" si="2575"/>
        <v>2500</v>
      </c>
      <c r="M1779" s="52">
        <v>2375</v>
      </c>
      <c r="N1779" s="2">
        <f t="shared" si="2545"/>
        <v>2.4500000000000002</v>
      </c>
      <c r="O1779" s="2">
        <f t="shared" si="2563"/>
        <v>6125</v>
      </c>
      <c r="P1779" s="13"/>
      <c r="Q1779" s="13"/>
      <c r="R1779" s="13"/>
      <c r="S1779" s="13"/>
      <c r="T1779" s="13"/>
      <c r="U1779" s="13"/>
      <c r="V1779" s="13"/>
      <c r="W1779" s="13"/>
      <c r="X1779" s="13"/>
      <c r="Y1779" s="13"/>
      <c r="Z1779" s="13"/>
      <c r="AA1779" s="13"/>
      <c r="AB1779" s="13"/>
      <c r="AC1779" s="13"/>
      <c r="AD1779" s="13"/>
      <c r="AE1779" s="13"/>
      <c r="AF1779" s="13"/>
      <c r="AG1779" s="13"/>
    </row>
    <row r="1780" spans="1:33" s="14" customFormat="1">
      <c r="A1780" s="10">
        <v>43321</v>
      </c>
      <c r="B1780" s="3" t="s">
        <v>169</v>
      </c>
      <c r="C1780" s="15" t="s">
        <v>47</v>
      </c>
      <c r="D1780" s="15">
        <v>840</v>
      </c>
      <c r="E1780" s="11">
        <v>1000</v>
      </c>
      <c r="F1780" s="3" t="s">
        <v>8</v>
      </c>
      <c r="G1780" s="46">
        <v>30.5</v>
      </c>
      <c r="H1780" s="3">
        <v>32</v>
      </c>
      <c r="I1780" s="46">
        <v>0</v>
      </c>
      <c r="J1780" s="55">
        <v>0</v>
      </c>
      <c r="K1780" s="1">
        <f t="shared" ref="K1780" si="2583">(IF(F1780="SELL",G1780-H1780,IF(F1780="BUY",H1780-G1780)))*E1780</f>
        <v>1500</v>
      </c>
      <c r="L1780" s="51">
        <v>0</v>
      </c>
      <c r="M1780" s="52">
        <v>0</v>
      </c>
      <c r="N1780" s="2">
        <f t="shared" si="2545"/>
        <v>1.5</v>
      </c>
      <c r="O1780" s="2">
        <f t="shared" si="2563"/>
        <v>1500</v>
      </c>
      <c r="P1780" s="13"/>
      <c r="Q1780" s="13"/>
      <c r="R1780" s="13"/>
      <c r="S1780" s="13"/>
      <c r="T1780" s="13"/>
      <c r="U1780" s="13"/>
      <c r="V1780" s="13"/>
      <c r="W1780" s="13"/>
      <c r="X1780" s="13"/>
      <c r="Y1780" s="13"/>
      <c r="Z1780" s="13"/>
      <c r="AA1780" s="13"/>
      <c r="AB1780" s="13"/>
      <c r="AC1780" s="13"/>
      <c r="AD1780" s="13"/>
      <c r="AE1780" s="13"/>
      <c r="AF1780" s="13"/>
      <c r="AG1780" s="13"/>
    </row>
    <row r="1781" spans="1:33" s="14" customFormat="1">
      <c r="A1781" s="10">
        <v>43321</v>
      </c>
      <c r="B1781" s="3" t="s">
        <v>261</v>
      </c>
      <c r="C1781" s="15" t="s">
        <v>47</v>
      </c>
      <c r="D1781" s="15">
        <v>85</v>
      </c>
      <c r="E1781" s="11">
        <v>4500</v>
      </c>
      <c r="F1781" s="3" t="s">
        <v>8</v>
      </c>
      <c r="G1781" s="46">
        <v>2.7</v>
      </c>
      <c r="H1781" s="3">
        <v>3</v>
      </c>
      <c r="I1781" s="46">
        <v>0</v>
      </c>
      <c r="J1781" s="55">
        <v>0</v>
      </c>
      <c r="K1781" s="1">
        <f t="shared" ref="K1781" si="2584">(IF(F1781="SELL",G1781-H1781,IF(F1781="BUY",H1781-G1781)))*E1781</f>
        <v>1349.9999999999991</v>
      </c>
      <c r="L1781" s="51">
        <v>0</v>
      </c>
      <c r="M1781" s="52">
        <v>0</v>
      </c>
      <c r="N1781" s="2">
        <f t="shared" si="2545"/>
        <v>0.29999999999999982</v>
      </c>
      <c r="O1781" s="2">
        <f t="shared" si="2563"/>
        <v>1349.9999999999991</v>
      </c>
      <c r="P1781" s="13"/>
      <c r="Q1781" s="13"/>
      <c r="R1781" s="13"/>
      <c r="S1781" s="13"/>
      <c r="T1781" s="13"/>
      <c r="U1781" s="13"/>
      <c r="V1781" s="13"/>
      <c r="W1781" s="13"/>
      <c r="X1781" s="13"/>
      <c r="Y1781" s="13"/>
      <c r="Z1781" s="13"/>
      <c r="AA1781" s="13"/>
      <c r="AB1781" s="13"/>
      <c r="AC1781" s="13"/>
      <c r="AD1781" s="13"/>
      <c r="AE1781" s="13"/>
      <c r="AF1781" s="13"/>
      <c r="AG1781" s="13"/>
    </row>
    <row r="1782" spans="1:33" s="14" customFormat="1">
      <c r="A1782" s="10">
        <v>43320</v>
      </c>
      <c r="B1782" s="3" t="s">
        <v>350</v>
      </c>
      <c r="C1782" s="15" t="s">
        <v>47</v>
      </c>
      <c r="D1782" s="15">
        <v>1200</v>
      </c>
      <c r="E1782" s="11">
        <v>1000</v>
      </c>
      <c r="F1782" s="3" t="s">
        <v>8</v>
      </c>
      <c r="G1782" s="46">
        <v>30</v>
      </c>
      <c r="H1782" s="3">
        <v>32</v>
      </c>
      <c r="I1782" s="46">
        <v>35</v>
      </c>
      <c r="J1782" s="55">
        <v>0</v>
      </c>
      <c r="K1782" s="1">
        <f t="shared" ref="K1782" si="2585">(IF(F1782="SELL",G1782-H1782,IF(F1782="BUY",H1782-G1782)))*E1782</f>
        <v>2000</v>
      </c>
      <c r="L1782" s="51">
        <f t="shared" ref="L1782" si="2586">(IF(F1782="SELL",IF(I1782="",0,H1782-I1782),IF(F1782="BUY",IF(I1782="",0,I1782-H1782))))*E1782</f>
        <v>3000</v>
      </c>
      <c r="M1782" s="52">
        <v>0</v>
      </c>
      <c r="N1782" s="2">
        <f t="shared" si="2545"/>
        <v>5</v>
      </c>
      <c r="O1782" s="2">
        <f t="shared" si="2563"/>
        <v>5000</v>
      </c>
      <c r="P1782" s="13"/>
      <c r="Q1782" s="13"/>
      <c r="R1782" s="13"/>
      <c r="S1782" s="13"/>
      <c r="T1782" s="13"/>
      <c r="U1782" s="13"/>
      <c r="V1782" s="13"/>
      <c r="W1782" s="13"/>
      <c r="X1782" s="13"/>
      <c r="Y1782" s="13"/>
      <c r="Z1782" s="13"/>
      <c r="AA1782" s="13"/>
      <c r="AB1782" s="13"/>
      <c r="AC1782" s="13"/>
      <c r="AD1782" s="13"/>
      <c r="AE1782" s="13"/>
      <c r="AF1782" s="13"/>
      <c r="AG1782" s="13"/>
    </row>
    <row r="1783" spans="1:33" s="14" customFormat="1">
      <c r="A1783" s="10">
        <v>43320</v>
      </c>
      <c r="B1783" s="3" t="s">
        <v>349</v>
      </c>
      <c r="C1783" s="15" t="s">
        <v>47</v>
      </c>
      <c r="D1783" s="15">
        <v>2850</v>
      </c>
      <c r="E1783" s="11">
        <v>500</v>
      </c>
      <c r="F1783" s="3" t="s">
        <v>8</v>
      </c>
      <c r="G1783" s="46">
        <v>63</v>
      </c>
      <c r="H1783" s="3">
        <v>66</v>
      </c>
      <c r="I1783" s="46">
        <v>70</v>
      </c>
      <c r="J1783" s="55">
        <v>0</v>
      </c>
      <c r="K1783" s="1">
        <f t="shared" ref="K1783" si="2587">(IF(F1783="SELL",G1783-H1783,IF(F1783="BUY",H1783-G1783)))*E1783</f>
        <v>1500</v>
      </c>
      <c r="L1783" s="51">
        <f t="shared" ref="L1783" si="2588">(IF(F1783="SELL",IF(I1783="",0,H1783-I1783),IF(F1783="BUY",IF(I1783="",0,I1783-H1783))))*E1783</f>
        <v>2000</v>
      </c>
      <c r="M1783" s="52">
        <v>0</v>
      </c>
      <c r="N1783" s="2">
        <f t="shared" si="2545"/>
        <v>7</v>
      </c>
      <c r="O1783" s="2">
        <f t="shared" si="2563"/>
        <v>3500</v>
      </c>
      <c r="P1783" s="13"/>
      <c r="Q1783" s="13"/>
      <c r="R1783" s="13"/>
      <c r="S1783" s="13"/>
      <c r="T1783" s="13"/>
      <c r="U1783" s="13"/>
      <c r="V1783" s="13"/>
      <c r="W1783" s="13"/>
      <c r="X1783" s="13"/>
      <c r="Y1783" s="13"/>
      <c r="Z1783" s="13"/>
      <c r="AA1783" s="13"/>
      <c r="AB1783" s="13"/>
      <c r="AC1783" s="13"/>
      <c r="AD1783" s="13"/>
      <c r="AE1783" s="13"/>
      <c r="AF1783" s="13"/>
      <c r="AG1783" s="13"/>
    </row>
    <row r="1784" spans="1:33" s="14" customFormat="1">
      <c r="A1784" s="10">
        <v>43319</v>
      </c>
      <c r="B1784" s="3" t="s">
        <v>348</v>
      </c>
      <c r="C1784" s="15" t="s">
        <v>47</v>
      </c>
      <c r="D1784" s="15">
        <v>120</v>
      </c>
      <c r="E1784" s="11">
        <v>3500</v>
      </c>
      <c r="F1784" s="3" t="s">
        <v>8</v>
      </c>
      <c r="G1784" s="46">
        <v>7.6</v>
      </c>
      <c r="H1784" s="3">
        <v>8.15</v>
      </c>
      <c r="I1784" s="46">
        <v>0</v>
      </c>
      <c r="J1784" s="55">
        <v>0</v>
      </c>
      <c r="K1784" s="1">
        <f t="shared" ref="K1784" si="2589">(IF(F1784="SELL",G1784-H1784,IF(F1784="BUY",H1784-G1784)))*E1784</f>
        <v>1925.0000000000025</v>
      </c>
      <c r="L1784" s="51">
        <v>0</v>
      </c>
      <c r="M1784" s="52">
        <v>0</v>
      </c>
      <c r="N1784" s="2">
        <f t="shared" si="2545"/>
        <v>0.55000000000000071</v>
      </c>
      <c r="O1784" s="2">
        <f t="shared" si="2563"/>
        <v>1925.0000000000025</v>
      </c>
      <c r="P1784" s="13"/>
      <c r="Q1784" s="13"/>
      <c r="R1784" s="13"/>
      <c r="S1784" s="13"/>
      <c r="T1784" s="13"/>
      <c r="U1784" s="13"/>
      <c r="V1784" s="13"/>
      <c r="W1784" s="13"/>
      <c r="X1784" s="13"/>
      <c r="Y1784" s="13"/>
      <c r="Z1784" s="13"/>
      <c r="AA1784" s="13"/>
      <c r="AB1784" s="13"/>
      <c r="AC1784" s="13"/>
      <c r="AD1784" s="13"/>
      <c r="AE1784" s="13"/>
      <c r="AF1784" s="13"/>
      <c r="AG1784" s="13"/>
    </row>
    <row r="1785" spans="1:33" s="14" customFormat="1">
      <c r="A1785" s="10">
        <v>43319</v>
      </c>
      <c r="B1785" s="3" t="s">
        <v>222</v>
      </c>
      <c r="C1785" s="15" t="s">
        <v>47</v>
      </c>
      <c r="D1785" s="15">
        <v>1040</v>
      </c>
      <c r="E1785" s="11">
        <v>500</v>
      </c>
      <c r="F1785" s="3" t="s">
        <v>8</v>
      </c>
      <c r="G1785" s="46">
        <v>29</v>
      </c>
      <c r="H1785" s="3">
        <v>31</v>
      </c>
      <c r="I1785" s="46">
        <v>0</v>
      </c>
      <c r="J1785" s="55">
        <v>0</v>
      </c>
      <c r="K1785" s="1">
        <f t="shared" ref="K1785" si="2590">(IF(F1785="SELL",G1785-H1785,IF(F1785="BUY",H1785-G1785)))*E1785</f>
        <v>1000</v>
      </c>
      <c r="L1785" s="51">
        <v>0</v>
      </c>
      <c r="M1785" s="52">
        <v>0</v>
      </c>
      <c r="N1785" s="2">
        <f t="shared" si="2545"/>
        <v>2</v>
      </c>
      <c r="O1785" s="2">
        <f t="shared" si="2563"/>
        <v>1000</v>
      </c>
      <c r="P1785" s="13"/>
      <c r="Q1785" s="13"/>
      <c r="R1785" s="13"/>
      <c r="S1785" s="13"/>
      <c r="T1785" s="13"/>
      <c r="U1785" s="13"/>
      <c r="V1785" s="13"/>
      <c r="W1785" s="13"/>
      <c r="X1785" s="13"/>
      <c r="Y1785" s="13"/>
      <c r="Z1785" s="13"/>
      <c r="AA1785" s="13"/>
      <c r="AB1785" s="13"/>
      <c r="AC1785" s="13"/>
      <c r="AD1785" s="13"/>
      <c r="AE1785" s="13"/>
      <c r="AF1785" s="13"/>
      <c r="AG1785" s="13"/>
    </row>
    <row r="1786" spans="1:33" s="14" customFormat="1">
      <c r="A1786" s="10">
        <v>43318</v>
      </c>
      <c r="B1786" s="3" t="s">
        <v>285</v>
      </c>
      <c r="C1786" s="15" t="s">
        <v>47</v>
      </c>
      <c r="D1786" s="15">
        <v>285</v>
      </c>
      <c r="E1786" s="11">
        <v>3200</v>
      </c>
      <c r="F1786" s="3" t="s">
        <v>8</v>
      </c>
      <c r="G1786" s="46">
        <v>6.8</v>
      </c>
      <c r="H1786" s="3">
        <v>7.3</v>
      </c>
      <c r="I1786" s="46">
        <v>8.3000000000000007</v>
      </c>
      <c r="J1786" s="55">
        <v>0</v>
      </c>
      <c r="K1786" s="1">
        <f t="shared" ref="K1786" si="2591">(IF(F1786="SELL",G1786-H1786,IF(F1786="BUY",H1786-G1786)))*E1786</f>
        <v>1600</v>
      </c>
      <c r="L1786" s="51">
        <f t="shared" ref="L1786" si="2592">(IF(F1786="SELL",IF(I1786="",0,H1786-I1786),IF(F1786="BUY",IF(I1786="",0,I1786-H1786))))*E1786</f>
        <v>3200.0000000000027</v>
      </c>
      <c r="M1786" s="52">
        <v>0</v>
      </c>
      <c r="N1786" s="2">
        <f t="shared" si="2545"/>
        <v>1.5000000000000009</v>
      </c>
      <c r="O1786" s="2">
        <f t="shared" si="2563"/>
        <v>4800.0000000000027</v>
      </c>
      <c r="P1786" s="13"/>
      <c r="Q1786" s="13"/>
      <c r="R1786" s="13"/>
      <c r="S1786" s="13"/>
      <c r="T1786" s="13"/>
      <c r="U1786" s="13"/>
      <c r="V1786" s="13"/>
      <c r="W1786" s="13"/>
      <c r="X1786" s="13"/>
      <c r="Y1786" s="13"/>
      <c r="Z1786" s="13"/>
      <c r="AA1786" s="13"/>
      <c r="AB1786" s="13"/>
      <c r="AC1786" s="13"/>
      <c r="AD1786" s="13"/>
      <c r="AE1786" s="13"/>
      <c r="AF1786" s="13"/>
      <c r="AG1786" s="13"/>
    </row>
    <row r="1787" spans="1:33" s="14" customFormat="1">
      <c r="A1787" s="10">
        <v>43318</v>
      </c>
      <c r="B1787" s="3" t="s">
        <v>347</v>
      </c>
      <c r="C1787" s="15" t="s">
        <v>47</v>
      </c>
      <c r="D1787" s="15">
        <v>65</v>
      </c>
      <c r="E1787" s="11">
        <v>8000</v>
      </c>
      <c r="F1787" s="3" t="s">
        <v>8</v>
      </c>
      <c r="G1787" s="46">
        <v>3.55</v>
      </c>
      <c r="H1787" s="3">
        <v>3.9</v>
      </c>
      <c r="I1787" s="46">
        <v>4.3</v>
      </c>
      <c r="J1787" s="55">
        <v>0</v>
      </c>
      <c r="K1787" s="1">
        <f t="shared" ref="K1787" si="2593">(IF(F1787="SELL",G1787-H1787,IF(F1787="BUY",H1787-G1787)))*E1787</f>
        <v>2800.0000000000009</v>
      </c>
      <c r="L1787" s="51">
        <f t="shared" ref="L1787" si="2594">(IF(F1787="SELL",IF(I1787="",0,H1787-I1787),IF(F1787="BUY",IF(I1787="",0,I1787-H1787))))*E1787</f>
        <v>3199.9999999999991</v>
      </c>
      <c r="M1787" s="52">
        <v>0</v>
      </c>
      <c r="N1787" s="2">
        <f t="shared" si="2545"/>
        <v>0.75</v>
      </c>
      <c r="O1787" s="2">
        <f t="shared" si="2563"/>
        <v>6000</v>
      </c>
      <c r="P1787" s="13"/>
      <c r="Q1787" s="13"/>
      <c r="R1787" s="13"/>
      <c r="S1787" s="13"/>
      <c r="T1787" s="13"/>
      <c r="U1787" s="13"/>
      <c r="V1787" s="13"/>
      <c r="W1787" s="13"/>
      <c r="X1787" s="13"/>
      <c r="Y1787" s="13"/>
      <c r="Z1787" s="13"/>
      <c r="AA1787" s="13"/>
      <c r="AB1787" s="13"/>
      <c r="AC1787" s="13"/>
      <c r="AD1787" s="13"/>
      <c r="AE1787" s="13"/>
      <c r="AF1787" s="13"/>
      <c r="AG1787" s="13"/>
    </row>
    <row r="1788" spans="1:33" s="14" customFormat="1">
      <c r="A1788" s="10">
        <v>43318</v>
      </c>
      <c r="B1788" s="3" t="s">
        <v>346</v>
      </c>
      <c r="C1788" s="15" t="s">
        <v>47</v>
      </c>
      <c r="D1788" s="15">
        <v>75</v>
      </c>
      <c r="E1788" s="11">
        <v>7000</v>
      </c>
      <c r="F1788" s="3" t="s">
        <v>8</v>
      </c>
      <c r="G1788" s="46">
        <v>4.8499999999999996</v>
      </c>
      <c r="H1788" s="3">
        <v>5.3</v>
      </c>
      <c r="I1788" s="46">
        <v>0</v>
      </c>
      <c r="J1788" s="55">
        <v>0</v>
      </c>
      <c r="K1788" s="1">
        <f t="shared" ref="K1788" si="2595">(IF(F1788="SELL",G1788-H1788,IF(F1788="BUY",H1788-G1788)))*E1788</f>
        <v>3150.0000000000014</v>
      </c>
      <c r="L1788" s="51">
        <v>0</v>
      </c>
      <c r="M1788" s="52">
        <v>0</v>
      </c>
      <c r="N1788" s="2">
        <f t="shared" si="2545"/>
        <v>0.45000000000000018</v>
      </c>
      <c r="O1788" s="2">
        <f t="shared" si="2563"/>
        <v>3150.0000000000014</v>
      </c>
      <c r="P1788" s="13"/>
      <c r="Q1788" s="13"/>
      <c r="R1788" s="13"/>
      <c r="S1788" s="13"/>
      <c r="T1788" s="13"/>
      <c r="U1788" s="13"/>
      <c r="V1788" s="13"/>
      <c r="W1788" s="13"/>
      <c r="X1788" s="13"/>
      <c r="Y1788" s="13"/>
      <c r="Z1788" s="13"/>
      <c r="AA1788" s="13"/>
      <c r="AB1788" s="13"/>
      <c r="AC1788" s="13"/>
      <c r="AD1788" s="13"/>
      <c r="AE1788" s="13"/>
      <c r="AF1788" s="13"/>
      <c r="AG1788" s="13"/>
    </row>
    <row r="1789" spans="1:33" s="14" customFormat="1">
      <c r="A1789" s="10">
        <v>43315</v>
      </c>
      <c r="B1789" s="3" t="s">
        <v>170</v>
      </c>
      <c r="C1789" s="15" t="s">
        <v>47</v>
      </c>
      <c r="D1789" s="15">
        <v>115</v>
      </c>
      <c r="E1789" s="11">
        <v>4000</v>
      </c>
      <c r="F1789" s="3" t="s">
        <v>8</v>
      </c>
      <c r="G1789" s="46">
        <v>6.25</v>
      </c>
      <c r="H1789" s="3">
        <v>6.5</v>
      </c>
      <c r="I1789" s="46">
        <v>7</v>
      </c>
      <c r="J1789" s="55">
        <v>0</v>
      </c>
      <c r="K1789" s="1">
        <f t="shared" ref="K1789:K1790" si="2596">(IF(F1789="SELL",G1789-H1789,IF(F1789="BUY",H1789-G1789)))*E1789</f>
        <v>1000</v>
      </c>
      <c r="L1789" s="51">
        <f t="shared" ref="L1789" si="2597">(IF(F1789="SELL",IF(I1789="",0,H1789-I1789),IF(F1789="BUY",IF(I1789="",0,I1789-H1789))))*E1789</f>
        <v>2000</v>
      </c>
      <c r="M1789" s="52">
        <v>0</v>
      </c>
      <c r="N1789" s="2">
        <f t="shared" si="2545"/>
        <v>0.75</v>
      </c>
      <c r="O1789" s="2">
        <f t="shared" si="2563"/>
        <v>3000</v>
      </c>
      <c r="P1789" s="13"/>
      <c r="Q1789" s="13"/>
      <c r="R1789" s="13"/>
      <c r="S1789" s="13"/>
      <c r="T1789" s="13"/>
      <c r="U1789" s="13"/>
      <c r="V1789" s="13"/>
      <c r="W1789" s="13"/>
      <c r="X1789" s="13"/>
      <c r="Y1789" s="13"/>
      <c r="Z1789" s="13"/>
      <c r="AA1789" s="13"/>
      <c r="AB1789" s="13"/>
      <c r="AC1789" s="13"/>
      <c r="AD1789" s="13"/>
      <c r="AE1789" s="13"/>
      <c r="AF1789" s="13"/>
      <c r="AG1789" s="13"/>
    </row>
    <row r="1790" spans="1:33" s="14" customFormat="1">
      <c r="A1790" s="10">
        <v>43315</v>
      </c>
      <c r="B1790" s="3" t="s">
        <v>345</v>
      </c>
      <c r="C1790" s="15" t="s">
        <v>47</v>
      </c>
      <c r="D1790" s="15">
        <v>400</v>
      </c>
      <c r="E1790" s="11">
        <v>800</v>
      </c>
      <c r="F1790" s="3" t="s">
        <v>8</v>
      </c>
      <c r="G1790" s="46">
        <v>28.5</v>
      </c>
      <c r="H1790" s="3">
        <v>24</v>
      </c>
      <c r="I1790" s="46">
        <v>0</v>
      </c>
      <c r="J1790" s="55">
        <v>0</v>
      </c>
      <c r="K1790" s="1">
        <f t="shared" si="2596"/>
        <v>-3600</v>
      </c>
      <c r="L1790" s="51">
        <v>0</v>
      </c>
      <c r="M1790" s="52">
        <v>0</v>
      </c>
      <c r="N1790" s="2">
        <f t="shared" si="2545"/>
        <v>-4.5</v>
      </c>
      <c r="O1790" s="2">
        <f t="shared" si="2563"/>
        <v>-3600</v>
      </c>
      <c r="P1790" s="13"/>
      <c r="Q1790" s="13"/>
      <c r="R1790" s="13"/>
      <c r="S1790" s="13"/>
      <c r="T1790" s="13"/>
      <c r="U1790" s="13"/>
      <c r="V1790" s="13"/>
      <c r="W1790" s="13"/>
      <c r="X1790" s="13"/>
      <c r="Y1790" s="13"/>
      <c r="Z1790" s="13"/>
      <c r="AA1790" s="13"/>
      <c r="AB1790" s="13"/>
      <c r="AC1790" s="13"/>
      <c r="AD1790" s="13"/>
      <c r="AE1790" s="13"/>
      <c r="AF1790" s="13"/>
      <c r="AG1790" s="13"/>
    </row>
    <row r="1791" spans="1:33" s="14" customFormat="1">
      <c r="A1791" s="10">
        <v>43314</v>
      </c>
      <c r="B1791" s="3" t="s">
        <v>337</v>
      </c>
      <c r="C1791" s="15" t="s">
        <v>47</v>
      </c>
      <c r="D1791" s="15">
        <v>1420</v>
      </c>
      <c r="E1791" s="11">
        <v>350</v>
      </c>
      <c r="F1791" s="3" t="s">
        <v>8</v>
      </c>
      <c r="G1791" s="46">
        <v>58</v>
      </c>
      <c r="H1791" s="3">
        <v>63</v>
      </c>
      <c r="I1791" s="46">
        <v>0</v>
      </c>
      <c r="J1791" s="55">
        <v>0</v>
      </c>
      <c r="K1791" s="1">
        <f t="shared" ref="K1791" si="2598">(IF(F1791="SELL",G1791-H1791,IF(F1791="BUY",H1791-G1791)))*E1791</f>
        <v>1750</v>
      </c>
      <c r="L1791" s="51">
        <v>0</v>
      </c>
      <c r="M1791" s="52">
        <v>0</v>
      </c>
      <c r="N1791" s="2">
        <f t="shared" si="2545"/>
        <v>5</v>
      </c>
      <c r="O1791" s="2">
        <f t="shared" si="2563"/>
        <v>1750</v>
      </c>
      <c r="P1791" s="13"/>
      <c r="Q1791" s="13"/>
      <c r="R1791" s="13"/>
      <c r="S1791" s="13"/>
      <c r="T1791" s="13"/>
      <c r="U1791" s="13"/>
      <c r="V1791" s="13"/>
      <c r="W1791" s="13"/>
      <c r="X1791" s="13"/>
      <c r="Y1791" s="13"/>
      <c r="Z1791" s="13"/>
      <c r="AA1791" s="13"/>
      <c r="AB1791" s="13"/>
      <c r="AC1791" s="13"/>
      <c r="AD1791" s="13"/>
      <c r="AE1791" s="13"/>
      <c r="AF1791" s="13"/>
      <c r="AG1791" s="13"/>
    </row>
    <row r="1792" spans="1:33" s="14" customFormat="1">
      <c r="A1792" s="10">
        <v>43314</v>
      </c>
      <c r="B1792" s="3" t="s">
        <v>345</v>
      </c>
      <c r="C1792" s="15" t="s">
        <v>47</v>
      </c>
      <c r="D1792" s="15">
        <v>400</v>
      </c>
      <c r="E1792" s="11">
        <v>800</v>
      </c>
      <c r="F1792" s="3" t="s">
        <v>8</v>
      </c>
      <c r="G1792" s="46">
        <v>24.25</v>
      </c>
      <c r="H1792" s="3">
        <v>27</v>
      </c>
      <c r="I1792" s="46">
        <v>0</v>
      </c>
      <c r="J1792" s="55">
        <v>0</v>
      </c>
      <c r="K1792" s="1">
        <f t="shared" ref="K1792" si="2599">(IF(F1792="SELL",G1792-H1792,IF(F1792="BUY",H1792-G1792)))*E1792</f>
        <v>2200</v>
      </c>
      <c r="L1792" s="51">
        <v>0</v>
      </c>
      <c r="M1792" s="52">
        <v>0</v>
      </c>
      <c r="N1792" s="2">
        <f t="shared" si="2545"/>
        <v>2.75</v>
      </c>
      <c r="O1792" s="2">
        <f t="shared" si="2563"/>
        <v>2200</v>
      </c>
      <c r="P1792" s="13"/>
      <c r="Q1792" s="13"/>
      <c r="R1792" s="13"/>
      <c r="S1792" s="13"/>
      <c r="T1792" s="13"/>
      <c r="U1792" s="13"/>
      <c r="V1792" s="13"/>
      <c r="W1792" s="13"/>
      <c r="X1792" s="13"/>
      <c r="Y1792" s="13"/>
      <c r="Z1792" s="13"/>
      <c r="AA1792" s="13"/>
      <c r="AB1792" s="13"/>
      <c r="AC1792" s="13"/>
      <c r="AD1792" s="13"/>
      <c r="AE1792" s="13"/>
      <c r="AF1792" s="13"/>
      <c r="AG1792" s="13"/>
    </row>
    <row r="1793" spans="1:33" s="14" customFormat="1">
      <c r="A1793" s="10">
        <v>43313</v>
      </c>
      <c r="B1793" s="3" t="s">
        <v>242</v>
      </c>
      <c r="C1793" s="15" t="s">
        <v>47</v>
      </c>
      <c r="D1793" s="15">
        <v>350</v>
      </c>
      <c r="E1793" s="11">
        <v>1000</v>
      </c>
      <c r="F1793" s="3" t="s">
        <v>8</v>
      </c>
      <c r="G1793" s="46">
        <v>14.5</v>
      </c>
      <c r="H1793" s="3">
        <v>15.5</v>
      </c>
      <c r="I1793" s="46">
        <v>16.5</v>
      </c>
      <c r="J1793" s="55">
        <v>18</v>
      </c>
      <c r="K1793" s="1">
        <f t="shared" ref="K1793" si="2600">(IF(F1793="SELL",G1793-H1793,IF(F1793="BUY",H1793-G1793)))*E1793</f>
        <v>1000</v>
      </c>
      <c r="L1793" s="51">
        <f t="shared" ref="L1793" si="2601">(IF(F1793="SELL",IF(I1793="",0,H1793-I1793),IF(F1793="BUY",IF(I1793="",0,I1793-H1793))))*E1793</f>
        <v>1000</v>
      </c>
      <c r="M1793" s="52">
        <v>1500</v>
      </c>
      <c r="N1793" s="2">
        <f t="shared" si="2545"/>
        <v>3.5</v>
      </c>
      <c r="O1793" s="2">
        <f t="shared" si="2563"/>
        <v>3500</v>
      </c>
      <c r="P1793" s="13"/>
      <c r="Q1793" s="13"/>
      <c r="R1793" s="13"/>
      <c r="S1793" s="13"/>
      <c r="T1793" s="13"/>
      <c r="U1793" s="13"/>
      <c r="V1793" s="13"/>
      <c r="W1793" s="13"/>
      <c r="X1793" s="13"/>
      <c r="Y1793" s="13"/>
      <c r="Z1793" s="13"/>
      <c r="AA1793" s="13"/>
      <c r="AB1793" s="13"/>
      <c r="AC1793" s="13"/>
      <c r="AD1793" s="13"/>
      <c r="AE1793" s="13"/>
      <c r="AF1793" s="13"/>
      <c r="AG1793" s="13"/>
    </row>
    <row r="1794" spans="1:33" s="14" customFormat="1">
      <c r="A1794" s="10">
        <v>43313</v>
      </c>
      <c r="B1794" s="3" t="s">
        <v>170</v>
      </c>
      <c r="C1794" s="15" t="s">
        <v>46</v>
      </c>
      <c r="D1794" s="15">
        <v>150</v>
      </c>
      <c r="E1794" s="11">
        <v>4000</v>
      </c>
      <c r="F1794" s="3" t="s">
        <v>8</v>
      </c>
      <c r="G1794" s="46">
        <v>6.5</v>
      </c>
      <c r="H1794" s="3">
        <v>6.9</v>
      </c>
      <c r="I1794" s="46">
        <v>0</v>
      </c>
      <c r="J1794" s="55">
        <v>0</v>
      </c>
      <c r="K1794" s="1">
        <f t="shared" ref="K1794" si="2602">(IF(F1794="SELL",G1794-H1794,IF(F1794="BUY",H1794-G1794)))*E1794</f>
        <v>1600.0000000000014</v>
      </c>
      <c r="L1794" s="51">
        <v>0</v>
      </c>
      <c r="M1794" s="52">
        <v>0</v>
      </c>
      <c r="N1794" s="2">
        <f t="shared" si="2545"/>
        <v>0.40000000000000036</v>
      </c>
      <c r="O1794" s="2">
        <f t="shared" si="2563"/>
        <v>1600.0000000000014</v>
      </c>
      <c r="P1794" s="13"/>
      <c r="Q1794" s="13"/>
      <c r="R1794" s="13"/>
      <c r="S1794" s="13"/>
      <c r="T1794" s="13"/>
      <c r="U1794" s="13"/>
      <c r="V1794" s="13"/>
      <c r="W1794" s="13"/>
      <c r="X1794" s="13"/>
      <c r="Y1794" s="13"/>
      <c r="Z1794" s="13"/>
      <c r="AA1794" s="13"/>
      <c r="AB1794" s="13"/>
      <c r="AC1794" s="13"/>
      <c r="AD1794" s="13"/>
      <c r="AE1794" s="13"/>
      <c r="AF1794" s="13"/>
      <c r="AG1794" s="13"/>
    </row>
    <row r="1795" spans="1:33" s="14" customFormat="1">
      <c r="A1795" s="10">
        <v>43313</v>
      </c>
      <c r="B1795" s="3" t="s">
        <v>198</v>
      </c>
      <c r="C1795" s="15" t="s">
        <v>46</v>
      </c>
      <c r="D1795" s="15">
        <v>290</v>
      </c>
      <c r="E1795" s="11">
        <v>3000</v>
      </c>
      <c r="F1795" s="3" t="s">
        <v>8</v>
      </c>
      <c r="G1795" s="46">
        <v>11.7</v>
      </c>
      <c r="H1795" s="3">
        <v>12.1</v>
      </c>
      <c r="I1795" s="46">
        <v>0</v>
      </c>
      <c r="J1795" s="55">
        <v>0</v>
      </c>
      <c r="K1795" s="1">
        <f t="shared" ref="K1795" si="2603">(IF(F1795="SELL",G1795-H1795,IF(F1795="BUY",H1795-G1795)))*E1795</f>
        <v>1200.0000000000011</v>
      </c>
      <c r="L1795" s="51">
        <v>0</v>
      </c>
      <c r="M1795" s="52">
        <v>0</v>
      </c>
      <c r="N1795" s="2">
        <f t="shared" si="2545"/>
        <v>0.40000000000000036</v>
      </c>
      <c r="O1795" s="2">
        <f t="shared" si="2563"/>
        <v>1200.0000000000011</v>
      </c>
      <c r="P1795" s="13"/>
      <c r="Q1795" s="13"/>
      <c r="R1795" s="13"/>
      <c r="S1795" s="13"/>
      <c r="T1795" s="13"/>
      <c r="U1795" s="13"/>
      <c r="V1795" s="13"/>
      <c r="W1795" s="13"/>
      <c r="X1795" s="13"/>
      <c r="Y1795" s="13"/>
      <c r="Z1795" s="13"/>
      <c r="AA1795" s="13"/>
      <c r="AB1795" s="13"/>
      <c r="AC1795" s="13"/>
      <c r="AD1795" s="13"/>
      <c r="AE1795" s="13"/>
      <c r="AF1795" s="13"/>
      <c r="AG1795" s="13"/>
    </row>
    <row r="1796" spans="1:33" s="14" customFormat="1">
      <c r="A1796" s="10">
        <v>43313</v>
      </c>
      <c r="B1796" s="3" t="s">
        <v>344</v>
      </c>
      <c r="C1796" s="15" t="s">
        <v>47</v>
      </c>
      <c r="D1796" s="15">
        <v>250</v>
      </c>
      <c r="E1796" s="11">
        <v>2250</v>
      </c>
      <c r="F1796" s="3" t="s">
        <v>8</v>
      </c>
      <c r="G1796" s="46">
        <v>14.5</v>
      </c>
      <c r="H1796" s="3">
        <v>12.5</v>
      </c>
      <c r="I1796" s="46">
        <v>0</v>
      </c>
      <c r="J1796" s="55">
        <v>0</v>
      </c>
      <c r="K1796" s="1">
        <f t="shared" ref="K1796" si="2604">(IF(F1796="SELL",G1796-H1796,IF(F1796="BUY",H1796-G1796)))*E1796</f>
        <v>-4500</v>
      </c>
      <c r="L1796" s="51">
        <v>0</v>
      </c>
      <c r="M1796" s="52">
        <v>0</v>
      </c>
      <c r="N1796" s="2">
        <f t="shared" si="2545"/>
        <v>-2</v>
      </c>
      <c r="O1796" s="2">
        <f t="shared" si="2563"/>
        <v>-4500</v>
      </c>
      <c r="P1796" s="13"/>
      <c r="Q1796" s="13"/>
      <c r="R1796" s="13"/>
      <c r="S1796" s="13"/>
      <c r="T1796" s="13"/>
      <c r="U1796" s="13"/>
      <c r="V1796" s="13"/>
      <c r="W1796" s="13"/>
      <c r="X1796" s="13"/>
      <c r="Y1796" s="13"/>
      <c r="Z1796" s="13"/>
      <c r="AA1796" s="13"/>
      <c r="AB1796" s="13"/>
      <c r="AC1796" s="13"/>
      <c r="AD1796" s="13"/>
      <c r="AE1796" s="13"/>
      <c r="AF1796" s="13"/>
      <c r="AG1796" s="13"/>
    </row>
    <row r="1797" spans="1:33" s="14" customFormat="1">
      <c r="A1797" s="10">
        <v>43312</v>
      </c>
      <c r="B1797" s="3" t="s">
        <v>212</v>
      </c>
      <c r="C1797" s="15" t="s">
        <v>47</v>
      </c>
      <c r="D1797" s="15">
        <v>115</v>
      </c>
      <c r="E1797" s="11">
        <v>4950</v>
      </c>
      <c r="F1797" s="3" t="s">
        <v>8</v>
      </c>
      <c r="G1797" s="46">
        <v>4.25</v>
      </c>
      <c r="H1797" s="3">
        <v>4.5</v>
      </c>
      <c r="I1797" s="46">
        <v>5</v>
      </c>
      <c r="J1797" s="55">
        <v>5.7</v>
      </c>
      <c r="K1797" s="1">
        <f t="shared" ref="K1797" si="2605">(IF(F1797="SELL",G1797-H1797,IF(F1797="BUY",H1797-G1797)))*E1797</f>
        <v>1237.5</v>
      </c>
      <c r="L1797" s="51">
        <f t="shared" ref="L1797" si="2606">(IF(F1797="SELL",IF(I1797="",0,H1797-I1797),IF(F1797="BUY",IF(I1797="",0,I1797-H1797))))*E1797</f>
        <v>2475</v>
      </c>
      <c r="M1797" s="52">
        <v>3465</v>
      </c>
      <c r="N1797" s="2">
        <f t="shared" si="2545"/>
        <v>1.45</v>
      </c>
      <c r="O1797" s="2">
        <f t="shared" si="2563"/>
        <v>7177.5</v>
      </c>
      <c r="P1797" s="13"/>
      <c r="Q1797" s="13"/>
      <c r="R1797" s="13"/>
      <c r="S1797" s="13"/>
      <c r="T1797" s="13"/>
      <c r="U1797" s="13"/>
      <c r="V1797" s="13"/>
      <c r="W1797" s="13"/>
      <c r="X1797" s="13"/>
      <c r="Y1797" s="13"/>
      <c r="Z1797" s="13"/>
      <c r="AA1797" s="13"/>
      <c r="AB1797" s="13"/>
      <c r="AC1797" s="13"/>
      <c r="AD1797" s="13"/>
      <c r="AE1797" s="13"/>
      <c r="AF1797" s="13"/>
      <c r="AG1797" s="13"/>
    </row>
    <row r="1798" spans="1:33" s="14" customFormat="1">
      <c r="A1798" s="10">
        <v>43312</v>
      </c>
      <c r="B1798" s="3" t="s">
        <v>220</v>
      </c>
      <c r="C1798" s="15" t="s">
        <v>47</v>
      </c>
      <c r="D1798" s="15">
        <v>2150</v>
      </c>
      <c r="E1798" s="11">
        <v>250</v>
      </c>
      <c r="F1798" s="3" t="s">
        <v>8</v>
      </c>
      <c r="G1798" s="46">
        <v>68</v>
      </c>
      <c r="H1798" s="3">
        <v>72</v>
      </c>
      <c r="I1798" s="46">
        <v>80</v>
      </c>
      <c r="J1798" s="55">
        <v>0</v>
      </c>
      <c r="K1798" s="1">
        <f t="shared" ref="K1798" si="2607">(IF(F1798="SELL",G1798-H1798,IF(F1798="BUY",H1798-G1798)))*E1798</f>
        <v>1000</v>
      </c>
      <c r="L1798" s="51">
        <f t="shared" ref="L1798" si="2608">(IF(F1798="SELL",IF(I1798="",0,H1798-I1798),IF(F1798="BUY",IF(I1798="",0,I1798-H1798))))*E1798</f>
        <v>2000</v>
      </c>
      <c r="M1798" s="52">
        <v>0</v>
      </c>
      <c r="N1798" s="2">
        <f t="shared" si="2545"/>
        <v>12</v>
      </c>
      <c r="O1798" s="2">
        <f t="shared" si="2563"/>
        <v>3000</v>
      </c>
      <c r="P1798" s="13"/>
      <c r="Q1798" s="13"/>
      <c r="R1798" s="13"/>
      <c r="S1798" s="13"/>
      <c r="T1798" s="13"/>
      <c r="U1798" s="13"/>
      <c r="V1798" s="13"/>
      <c r="W1798" s="13"/>
      <c r="X1798" s="13"/>
      <c r="Y1798" s="13"/>
      <c r="Z1798" s="13"/>
      <c r="AA1798" s="13"/>
      <c r="AB1798" s="13"/>
      <c r="AC1798" s="13"/>
      <c r="AD1798" s="13"/>
      <c r="AE1798" s="13"/>
      <c r="AF1798" s="13"/>
      <c r="AG1798" s="13"/>
    </row>
    <row r="1799" spans="1:33" s="14" customFormat="1">
      <c r="A1799" s="10">
        <v>43312</v>
      </c>
      <c r="B1799" s="3" t="s">
        <v>343</v>
      </c>
      <c r="C1799" s="15" t="s">
        <v>47</v>
      </c>
      <c r="D1799" s="15">
        <v>400</v>
      </c>
      <c r="E1799" s="11">
        <v>800</v>
      </c>
      <c r="F1799" s="3" t="s">
        <v>8</v>
      </c>
      <c r="G1799" s="46">
        <v>20</v>
      </c>
      <c r="H1799" s="3">
        <v>21.8</v>
      </c>
      <c r="I1799" s="46">
        <v>0</v>
      </c>
      <c r="J1799" s="55">
        <v>0</v>
      </c>
      <c r="K1799" s="1">
        <f t="shared" ref="K1799" si="2609">(IF(F1799="SELL",G1799-H1799,IF(F1799="BUY",H1799-G1799)))*E1799</f>
        <v>1440.0000000000005</v>
      </c>
      <c r="L1799" s="51">
        <v>0</v>
      </c>
      <c r="M1799" s="52">
        <v>0</v>
      </c>
      <c r="N1799" s="2">
        <f t="shared" si="2545"/>
        <v>1.8000000000000005</v>
      </c>
      <c r="O1799" s="2">
        <f t="shared" si="2563"/>
        <v>1440.0000000000005</v>
      </c>
      <c r="P1799" s="13"/>
      <c r="Q1799" s="13"/>
      <c r="R1799" s="13"/>
      <c r="S1799" s="13"/>
      <c r="T1799" s="13"/>
      <c r="U1799" s="13"/>
      <c r="V1799" s="13"/>
      <c r="W1799" s="13"/>
      <c r="X1799" s="13"/>
      <c r="Y1799" s="13"/>
      <c r="Z1799" s="13"/>
      <c r="AA1799" s="13"/>
      <c r="AB1799" s="13"/>
      <c r="AC1799" s="13"/>
      <c r="AD1799" s="13"/>
      <c r="AE1799" s="13"/>
      <c r="AF1799" s="13"/>
      <c r="AG1799" s="13"/>
    </row>
    <row r="1800" spans="1:33" s="14" customFormat="1">
      <c r="A1800" s="10">
        <v>43311</v>
      </c>
      <c r="B1800" s="3" t="s">
        <v>154</v>
      </c>
      <c r="C1800" s="15" t="s">
        <v>47</v>
      </c>
      <c r="D1800" s="15">
        <v>400</v>
      </c>
      <c r="E1800" s="11">
        <v>1800</v>
      </c>
      <c r="F1800" s="3" t="s">
        <v>8</v>
      </c>
      <c r="G1800" s="46">
        <v>15.5</v>
      </c>
      <c r="H1800" s="3">
        <v>16.2</v>
      </c>
      <c r="I1800" s="46">
        <v>35</v>
      </c>
      <c r="J1800" s="55">
        <v>0</v>
      </c>
      <c r="K1800" s="1">
        <f t="shared" ref="K1800" si="2610">(IF(F1800="SELL",G1800-H1800,IF(F1800="BUY",H1800-G1800)))*E1800</f>
        <v>1259.9999999999986</v>
      </c>
      <c r="L1800" s="51">
        <v>0</v>
      </c>
      <c r="M1800" s="52">
        <v>0</v>
      </c>
      <c r="N1800" s="2">
        <f t="shared" si="2545"/>
        <v>0.69999999999999929</v>
      </c>
      <c r="O1800" s="2">
        <f t="shared" si="2563"/>
        <v>1259.9999999999986</v>
      </c>
      <c r="P1800" s="13"/>
      <c r="Q1800" s="13"/>
      <c r="R1800" s="13"/>
      <c r="S1800" s="13"/>
      <c r="T1800" s="13"/>
      <c r="U1800" s="13"/>
      <c r="V1800" s="13"/>
      <c r="W1800" s="13"/>
      <c r="X1800" s="13"/>
      <c r="Y1800" s="13"/>
      <c r="Z1800" s="13"/>
      <c r="AA1800" s="13"/>
      <c r="AB1800" s="13"/>
      <c r="AC1800" s="13"/>
      <c r="AD1800" s="13"/>
      <c r="AE1800" s="13"/>
      <c r="AF1800" s="13"/>
      <c r="AG1800" s="13"/>
    </row>
    <row r="1801" spans="1:33" s="14" customFormat="1">
      <c r="A1801" s="10">
        <v>43311</v>
      </c>
      <c r="B1801" s="3" t="s">
        <v>153</v>
      </c>
      <c r="C1801" s="15" t="s">
        <v>47</v>
      </c>
      <c r="D1801" s="15">
        <v>340</v>
      </c>
      <c r="E1801" s="11">
        <v>1200</v>
      </c>
      <c r="F1801" s="3" t="s">
        <v>8</v>
      </c>
      <c r="G1801" s="46">
        <v>17.600000000000001</v>
      </c>
      <c r="H1801" s="3">
        <v>19</v>
      </c>
      <c r="I1801" s="46">
        <v>0</v>
      </c>
      <c r="J1801" s="55">
        <v>0</v>
      </c>
      <c r="K1801" s="1">
        <f t="shared" ref="K1801" si="2611">(IF(F1801="SELL",G1801-H1801,IF(F1801="BUY",H1801-G1801)))*E1801</f>
        <v>1679.9999999999982</v>
      </c>
      <c r="L1801" s="51">
        <v>0</v>
      </c>
      <c r="M1801" s="52">
        <v>0</v>
      </c>
      <c r="N1801" s="2">
        <f t="shared" si="2545"/>
        <v>1.3999999999999986</v>
      </c>
      <c r="O1801" s="2">
        <f t="shared" si="2563"/>
        <v>1679.9999999999982</v>
      </c>
      <c r="P1801" s="13"/>
      <c r="Q1801" s="13"/>
      <c r="R1801" s="13"/>
      <c r="S1801" s="13"/>
      <c r="T1801" s="13"/>
      <c r="U1801" s="13"/>
      <c r="V1801" s="13"/>
      <c r="W1801" s="13"/>
      <c r="X1801" s="13"/>
      <c r="Y1801" s="13"/>
      <c r="Z1801" s="13"/>
      <c r="AA1801" s="13"/>
      <c r="AB1801" s="13"/>
      <c r="AC1801" s="13"/>
      <c r="AD1801" s="13"/>
      <c r="AE1801" s="13"/>
      <c r="AF1801" s="13"/>
      <c r="AG1801" s="13"/>
    </row>
    <row r="1802" spans="1:33" s="14" customFormat="1">
      <c r="A1802" s="10">
        <v>43308</v>
      </c>
      <c r="B1802" s="3" t="s">
        <v>342</v>
      </c>
      <c r="C1802" s="15" t="s">
        <v>47</v>
      </c>
      <c r="D1802" s="15">
        <v>3250</v>
      </c>
      <c r="E1802" s="11">
        <v>200</v>
      </c>
      <c r="F1802" s="3" t="s">
        <v>8</v>
      </c>
      <c r="G1802" s="46">
        <v>80</v>
      </c>
      <c r="H1802" s="3">
        <v>85</v>
      </c>
      <c r="I1802" s="46">
        <v>0</v>
      </c>
      <c r="J1802" s="55">
        <v>0</v>
      </c>
      <c r="K1802" s="1">
        <f t="shared" ref="K1802" si="2612">(IF(F1802="SELL",G1802-H1802,IF(F1802="BUY",H1802-G1802)))*E1802</f>
        <v>1000</v>
      </c>
      <c r="L1802" s="51">
        <v>0</v>
      </c>
      <c r="M1802" s="52">
        <v>0</v>
      </c>
      <c r="N1802" s="2">
        <f t="shared" si="2545"/>
        <v>5</v>
      </c>
      <c r="O1802" s="2">
        <f t="shared" si="2563"/>
        <v>1000</v>
      </c>
      <c r="P1802" s="13"/>
      <c r="Q1802" s="13"/>
      <c r="R1802" s="13"/>
      <c r="S1802" s="13"/>
      <c r="T1802" s="13"/>
      <c r="U1802" s="13"/>
      <c r="V1802" s="13"/>
      <c r="W1802" s="13"/>
      <c r="X1802" s="13"/>
      <c r="Y1802" s="13"/>
      <c r="Z1802" s="13"/>
      <c r="AA1802" s="13"/>
      <c r="AB1802" s="13"/>
      <c r="AC1802" s="13"/>
      <c r="AD1802" s="13"/>
      <c r="AE1802" s="13"/>
      <c r="AF1802" s="13"/>
      <c r="AG1802" s="13"/>
    </row>
    <row r="1803" spans="1:33" s="14" customFormat="1">
      <c r="A1803" s="10">
        <v>43308</v>
      </c>
      <c r="B1803" s="3" t="s">
        <v>182</v>
      </c>
      <c r="C1803" s="15" t="s">
        <v>47</v>
      </c>
      <c r="D1803" s="15">
        <v>950</v>
      </c>
      <c r="E1803" s="11">
        <v>550</v>
      </c>
      <c r="F1803" s="3" t="s">
        <v>8</v>
      </c>
      <c r="G1803" s="46">
        <v>45.5</v>
      </c>
      <c r="H1803" s="3">
        <v>47.5</v>
      </c>
      <c r="I1803" s="46">
        <v>0</v>
      </c>
      <c r="J1803" s="55">
        <v>0</v>
      </c>
      <c r="K1803" s="1">
        <f t="shared" ref="K1803:K1804" si="2613">(IF(F1803="SELL",G1803-H1803,IF(F1803="BUY",H1803-G1803)))*E1803</f>
        <v>1100</v>
      </c>
      <c r="L1803" s="51">
        <v>0</v>
      </c>
      <c r="M1803" s="52">
        <v>0</v>
      </c>
      <c r="N1803" s="2">
        <f t="shared" si="2545"/>
        <v>2</v>
      </c>
      <c r="O1803" s="2">
        <f t="shared" si="2563"/>
        <v>1100</v>
      </c>
      <c r="P1803" s="13"/>
      <c r="Q1803" s="13"/>
      <c r="R1803" s="13"/>
      <c r="S1803" s="13"/>
      <c r="T1803" s="13"/>
      <c r="U1803" s="13"/>
      <c r="V1803" s="13"/>
      <c r="W1803" s="13"/>
      <c r="X1803" s="13"/>
      <c r="Y1803" s="13"/>
      <c r="Z1803" s="13"/>
      <c r="AA1803" s="13"/>
      <c r="AB1803" s="13"/>
      <c r="AC1803" s="13"/>
      <c r="AD1803" s="13"/>
      <c r="AE1803" s="13"/>
      <c r="AF1803" s="13"/>
      <c r="AG1803" s="13"/>
    </row>
    <row r="1804" spans="1:33" s="14" customFormat="1">
      <c r="A1804" s="10">
        <v>43308</v>
      </c>
      <c r="B1804" s="3" t="s">
        <v>161</v>
      </c>
      <c r="C1804" s="15" t="s">
        <v>47</v>
      </c>
      <c r="D1804" s="15">
        <v>270</v>
      </c>
      <c r="E1804" s="11">
        <v>1500</v>
      </c>
      <c r="F1804" s="3" t="s">
        <v>8</v>
      </c>
      <c r="G1804" s="46">
        <v>10.6</v>
      </c>
      <c r="H1804" s="3">
        <v>11.6</v>
      </c>
      <c r="I1804" s="46">
        <v>13.6</v>
      </c>
      <c r="J1804" s="55">
        <v>0</v>
      </c>
      <c r="K1804" s="1">
        <f t="shared" si="2613"/>
        <v>1500</v>
      </c>
      <c r="L1804" s="51">
        <f t="shared" ref="L1804" si="2614">(IF(F1804="SELL",IF(I1804="",0,H1804-I1804),IF(F1804="BUY",IF(I1804="",0,I1804-H1804))))*E1804</f>
        <v>3000</v>
      </c>
      <c r="M1804" s="52">
        <v>0</v>
      </c>
      <c r="N1804" s="2">
        <f t="shared" si="2545"/>
        <v>3</v>
      </c>
      <c r="O1804" s="2">
        <f t="shared" si="2563"/>
        <v>4500</v>
      </c>
      <c r="P1804" s="13"/>
      <c r="Q1804" s="13"/>
      <c r="R1804" s="13"/>
      <c r="S1804" s="13"/>
      <c r="T1804" s="13"/>
      <c r="U1804" s="13"/>
      <c r="V1804" s="13"/>
      <c r="W1804" s="13"/>
      <c r="X1804" s="13"/>
      <c r="Y1804" s="13"/>
      <c r="Z1804" s="13"/>
      <c r="AA1804" s="13"/>
      <c r="AB1804" s="13"/>
      <c r="AC1804" s="13"/>
      <c r="AD1804" s="13"/>
      <c r="AE1804" s="13"/>
      <c r="AF1804" s="13"/>
      <c r="AG1804" s="13"/>
    </row>
    <row r="1805" spans="1:33" s="14" customFormat="1">
      <c r="A1805" s="10">
        <v>43308</v>
      </c>
      <c r="B1805" s="3" t="s">
        <v>337</v>
      </c>
      <c r="C1805" s="15" t="s">
        <v>47</v>
      </c>
      <c r="D1805" s="15">
        <v>1400</v>
      </c>
      <c r="E1805" s="11">
        <v>350</v>
      </c>
      <c r="F1805" s="3" t="s">
        <v>8</v>
      </c>
      <c r="G1805" s="46">
        <v>58</v>
      </c>
      <c r="H1805" s="3">
        <v>62</v>
      </c>
      <c r="I1805" s="46">
        <v>70</v>
      </c>
      <c r="J1805" s="55">
        <v>0</v>
      </c>
      <c r="K1805" s="1">
        <f t="shared" ref="K1805" si="2615">(IF(F1805="SELL",G1805-H1805,IF(F1805="BUY",H1805-G1805)))*E1805</f>
        <v>1400</v>
      </c>
      <c r="L1805" s="51">
        <f t="shared" ref="L1805" si="2616">(IF(F1805="SELL",IF(I1805="",0,H1805-I1805),IF(F1805="BUY",IF(I1805="",0,I1805-H1805))))*E1805</f>
        <v>2800</v>
      </c>
      <c r="M1805" s="52">
        <v>0</v>
      </c>
      <c r="N1805" s="2">
        <f t="shared" si="2545"/>
        <v>12</v>
      </c>
      <c r="O1805" s="2">
        <f t="shared" si="2563"/>
        <v>4200</v>
      </c>
      <c r="P1805" s="13"/>
      <c r="Q1805" s="13"/>
      <c r="R1805" s="13"/>
      <c r="S1805" s="13"/>
      <c r="T1805" s="13"/>
      <c r="U1805" s="13"/>
      <c r="V1805" s="13"/>
      <c r="W1805" s="13"/>
      <c r="X1805" s="13"/>
      <c r="Y1805" s="13"/>
      <c r="Z1805" s="13"/>
      <c r="AA1805" s="13"/>
      <c r="AB1805" s="13"/>
      <c r="AC1805" s="13"/>
      <c r="AD1805" s="13"/>
      <c r="AE1805" s="13"/>
      <c r="AF1805" s="13"/>
      <c r="AG1805" s="13"/>
    </row>
    <row r="1806" spans="1:33" s="14" customFormat="1">
      <c r="A1806" s="10">
        <v>43307</v>
      </c>
      <c r="B1806" s="3" t="s">
        <v>220</v>
      </c>
      <c r="C1806" s="15" t="s">
        <v>47</v>
      </c>
      <c r="D1806" s="15">
        <v>2100</v>
      </c>
      <c r="E1806" s="11">
        <v>250</v>
      </c>
      <c r="F1806" s="3" t="s">
        <v>8</v>
      </c>
      <c r="G1806" s="46">
        <v>18</v>
      </c>
      <c r="H1806" s="3">
        <v>23</v>
      </c>
      <c r="I1806" s="46">
        <v>35</v>
      </c>
      <c r="J1806" s="55">
        <v>50</v>
      </c>
      <c r="K1806" s="1">
        <f t="shared" ref="K1806" si="2617">(IF(F1806="SELL",G1806-H1806,IF(F1806="BUY",H1806-G1806)))*E1806</f>
        <v>1250</v>
      </c>
      <c r="L1806" s="51">
        <f t="shared" ref="L1806" si="2618">(IF(F1806="SELL",IF(I1806="",0,H1806-I1806),IF(F1806="BUY",IF(I1806="",0,I1806-H1806))))*E1806</f>
        <v>3000</v>
      </c>
      <c r="M1806" s="52">
        <v>3750</v>
      </c>
      <c r="N1806" s="2">
        <f t="shared" si="2545"/>
        <v>32</v>
      </c>
      <c r="O1806" s="2">
        <f t="shared" si="2563"/>
        <v>8000</v>
      </c>
      <c r="P1806" s="13"/>
      <c r="Q1806" s="13"/>
      <c r="R1806" s="13"/>
      <c r="S1806" s="13"/>
      <c r="T1806" s="13"/>
      <c r="U1806" s="13"/>
      <c r="V1806" s="13"/>
      <c r="W1806" s="13"/>
      <c r="X1806" s="13"/>
      <c r="Y1806" s="13"/>
      <c r="Z1806" s="13"/>
      <c r="AA1806" s="13"/>
      <c r="AB1806" s="13"/>
      <c r="AC1806" s="13"/>
      <c r="AD1806" s="13"/>
      <c r="AE1806" s="13"/>
      <c r="AF1806" s="13"/>
      <c r="AG1806" s="13"/>
    </row>
    <row r="1807" spans="1:33" s="14" customFormat="1">
      <c r="A1807" s="10">
        <v>43307</v>
      </c>
      <c r="B1807" s="3" t="s">
        <v>341</v>
      </c>
      <c r="C1807" s="15" t="s">
        <v>47</v>
      </c>
      <c r="D1807" s="15">
        <v>115</v>
      </c>
      <c r="E1807" s="11">
        <v>4500</v>
      </c>
      <c r="F1807" s="3" t="s">
        <v>8</v>
      </c>
      <c r="G1807" s="46">
        <v>1.7</v>
      </c>
      <c r="H1807" s="3">
        <v>2</v>
      </c>
      <c r="I1807" s="46">
        <v>2.7</v>
      </c>
      <c r="J1807" s="55">
        <v>0</v>
      </c>
      <c r="K1807" s="1">
        <f t="shared" ref="K1807" si="2619">(IF(F1807="SELL",G1807-H1807,IF(F1807="BUY",H1807-G1807)))*E1807</f>
        <v>1350.0000000000002</v>
      </c>
      <c r="L1807" s="51">
        <f t="shared" ref="L1807" si="2620">(IF(F1807="SELL",IF(I1807="",0,H1807-I1807),IF(F1807="BUY",IF(I1807="",0,I1807-H1807))))*E1807</f>
        <v>3150.0000000000009</v>
      </c>
      <c r="M1807" s="52">
        <v>0</v>
      </c>
      <c r="N1807" s="2">
        <f t="shared" si="2545"/>
        <v>1.0000000000000002</v>
      </c>
      <c r="O1807" s="2">
        <f t="shared" si="2563"/>
        <v>4500.0000000000009</v>
      </c>
      <c r="P1807" s="13"/>
      <c r="Q1807" s="13"/>
      <c r="R1807" s="13"/>
      <c r="S1807" s="13"/>
      <c r="T1807" s="13"/>
      <c r="U1807" s="13"/>
      <c r="V1807" s="13"/>
      <c r="W1807" s="13"/>
      <c r="X1807" s="13"/>
      <c r="Y1807" s="13"/>
      <c r="Z1807" s="13"/>
      <c r="AA1807" s="13"/>
      <c r="AB1807" s="13"/>
      <c r="AC1807" s="13"/>
      <c r="AD1807" s="13"/>
      <c r="AE1807" s="13"/>
      <c r="AF1807" s="13"/>
      <c r="AG1807" s="13"/>
    </row>
    <row r="1808" spans="1:33" s="14" customFormat="1">
      <c r="A1808" s="10">
        <v>43307</v>
      </c>
      <c r="B1808" s="3" t="s">
        <v>136</v>
      </c>
      <c r="C1808" s="15" t="s">
        <v>47</v>
      </c>
      <c r="D1808" s="15">
        <v>285</v>
      </c>
      <c r="E1808" s="11">
        <v>2400</v>
      </c>
      <c r="F1808" s="3" t="s">
        <v>8</v>
      </c>
      <c r="G1808" s="46">
        <v>2.25</v>
      </c>
      <c r="H1808" s="3">
        <v>2.75</v>
      </c>
      <c r="I1808" s="46">
        <v>0</v>
      </c>
      <c r="J1808" s="55">
        <v>0</v>
      </c>
      <c r="K1808" s="1">
        <f t="shared" ref="K1808" si="2621">(IF(F1808="SELL",G1808-H1808,IF(F1808="BUY",H1808-G1808)))*E1808</f>
        <v>1200</v>
      </c>
      <c r="L1808" s="51">
        <v>0</v>
      </c>
      <c r="M1808" s="52">
        <v>0</v>
      </c>
      <c r="N1808" s="2">
        <f t="shared" si="2545"/>
        <v>0.5</v>
      </c>
      <c r="O1808" s="2">
        <f t="shared" si="2563"/>
        <v>1200</v>
      </c>
      <c r="P1808" s="13"/>
      <c r="Q1808" s="13"/>
      <c r="R1808" s="13"/>
      <c r="S1808" s="13"/>
      <c r="T1808" s="13"/>
      <c r="U1808" s="13"/>
      <c r="V1808" s="13"/>
      <c r="W1808" s="13"/>
      <c r="X1808" s="13"/>
      <c r="Y1808" s="13"/>
      <c r="Z1808" s="13"/>
      <c r="AA1808" s="13"/>
      <c r="AB1808" s="13"/>
      <c r="AC1808" s="13"/>
      <c r="AD1808" s="13"/>
      <c r="AE1808" s="13"/>
      <c r="AF1808" s="13"/>
      <c r="AG1808" s="13"/>
    </row>
    <row r="1809" spans="1:33" s="14" customFormat="1">
      <c r="A1809" s="10">
        <v>43306</v>
      </c>
      <c r="B1809" s="3" t="s">
        <v>313</v>
      </c>
      <c r="C1809" s="15" t="s">
        <v>47</v>
      </c>
      <c r="D1809" s="15">
        <v>95</v>
      </c>
      <c r="E1809" s="11">
        <v>6000</v>
      </c>
      <c r="F1809" s="3" t="s">
        <v>8</v>
      </c>
      <c r="G1809" s="46">
        <v>3.4</v>
      </c>
      <c r="H1809" s="3">
        <v>3.65</v>
      </c>
      <c r="I1809" s="46">
        <v>0</v>
      </c>
      <c r="J1809" s="55">
        <v>0</v>
      </c>
      <c r="K1809" s="1">
        <f t="shared" ref="K1809" si="2622">(IF(F1809="SELL",G1809-H1809,IF(F1809="BUY",H1809-G1809)))*E1809</f>
        <v>1500</v>
      </c>
      <c r="L1809" s="51">
        <v>0</v>
      </c>
      <c r="M1809" s="52">
        <v>0</v>
      </c>
      <c r="N1809" s="2">
        <f t="shared" si="2545"/>
        <v>0.25</v>
      </c>
      <c r="O1809" s="2">
        <f t="shared" si="2563"/>
        <v>1500</v>
      </c>
      <c r="P1809" s="13"/>
      <c r="Q1809" s="13"/>
      <c r="R1809" s="13"/>
      <c r="S1809" s="13"/>
      <c r="T1809" s="13"/>
      <c r="U1809" s="13"/>
      <c r="V1809" s="13"/>
      <c r="W1809" s="13"/>
      <c r="X1809" s="13"/>
      <c r="Y1809" s="13"/>
      <c r="Z1809" s="13"/>
      <c r="AA1809" s="13"/>
      <c r="AB1809" s="13"/>
      <c r="AC1809" s="13"/>
      <c r="AD1809" s="13"/>
      <c r="AE1809" s="13"/>
      <c r="AF1809" s="13"/>
      <c r="AG1809" s="13"/>
    </row>
    <row r="1810" spans="1:33" s="14" customFormat="1">
      <c r="A1810" s="10">
        <v>43306</v>
      </c>
      <c r="B1810" s="3" t="s">
        <v>340</v>
      </c>
      <c r="C1810" s="15" t="s">
        <v>47</v>
      </c>
      <c r="D1810" s="15">
        <v>100</v>
      </c>
      <c r="E1810" s="11">
        <v>6000</v>
      </c>
      <c r="F1810" s="3" t="s">
        <v>8</v>
      </c>
      <c r="G1810" s="46">
        <v>2</v>
      </c>
      <c r="H1810" s="3">
        <v>2.4</v>
      </c>
      <c r="I1810" s="46">
        <v>0</v>
      </c>
      <c r="J1810" s="55">
        <v>0</v>
      </c>
      <c r="K1810" s="1">
        <f t="shared" ref="K1810" si="2623">(IF(F1810="SELL",G1810-H1810,IF(F1810="BUY",H1810-G1810)))*E1810</f>
        <v>2399.9999999999995</v>
      </c>
      <c r="L1810" s="51">
        <v>0</v>
      </c>
      <c r="M1810" s="52">
        <v>0</v>
      </c>
      <c r="N1810" s="2">
        <f t="shared" si="2545"/>
        <v>0.39999999999999991</v>
      </c>
      <c r="O1810" s="2">
        <f t="shared" si="2563"/>
        <v>2399.9999999999995</v>
      </c>
      <c r="P1810" s="13"/>
      <c r="Q1810" s="13"/>
      <c r="R1810" s="13"/>
      <c r="S1810" s="13"/>
      <c r="T1810" s="13"/>
      <c r="U1810" s="13"/>
      <c r="V1810" s="13"/>
      <c r="W1810" s="13"/>
      <c r="X1810" s="13"/>
      <c r="Y1810" s="13"/>
      <c r="Z1810" s="13"/>
      <c r="AA1810" s="13"/>
      <c r="AB1810" s="13"/>
      <c r="AC1810" s="13"/>
      <c r="AD1810" s="13"/>
      <c r="AE1810" s="13"/>
      <c r="AF1810" s="13"/>
      <c r="AG1810" s="13"/>
    </row>
    <row r="1811" spans="1:33" s="14" customFormat="1">
      <c r="A1811" s="10">
        <v>43305</v>
      </c>
      <c r="B1811" s="3" t="s">
        <v>232</v>
      </c>
      <c r="C1811" s="15" t="s">
        <v>47</v>
      </c>
      <c r="D1811" s="15">
        <v>400</v>
      </c>
      <c r="E1811" s="11">
        <v>1300</v>
      </c>
      <c r="F1811" s="3" t="s">
        <v>8</v>
      </c>
      <c r="G1811" s="46">
        <v>7</v>
      </c>
      <c r="H1811" s="3">
        <v>8</v>
      </c>
      <c r="I1811" s="46">
        <v>9</v>
      </c>
      <c r="J1811" s="55">
        <v>0</v>
      </c>
      <c r="K1811" s="1">
        <f t="shared" ref="K1811" si="2624">(IF(F1811="SELL",G1811-H1811,IF(F1811="BUY",H1811-G1811)))*E1811</f>
        <v>1300</v>
      </c>
      <c r="L1811" s="51">
        <f t="shared" ref="L1811" si="2625">(IF(F1811="SELL",IF(I1811="",0,H1811-I1811),IF(F1811="BUY",IF(I1811="",0,I1811-H1811))))*E1811</f>
        <v>1300</v>
      </c>
      <c r="M1811" s="52">
        <v>0</v>
      </c>
      <c r="N1811" s="2">
        <f t="shared" si="2545"/>
        <v>2</v>
      </c>
      <c r="O1811" s="2">
        <f t="shared" si="2563"/>
        <v>2600</v>
      </c>
      <c r="P1811" s="13"/>
      <c r="Q1811" s="13"/>
      <c r="R1811" s="13"/>
      <c r="S1811" s="13"/>
      <c r="T1811" s="13"/>
      <c r="U1811" s="13"/>
      <c r="V1811" s="13"/>
      <c r="W1811" s="13"/>
      <c r="X1811" s="13"/>
      <c r="Y1811" s="13"/>
      <c r="Z1811" s="13"/>
      <c r="AA1811" s="13"/>
      <c r="AB1811" s="13"/>
      <c r="AC1811" s="13"/>
      <c r="AD1811" s="13"/>
      <c r="AE1811" s="13"/>
      <c r="AF1811" s="13"/>
      <c r="AG1811" s="13"/>
    </row>
    <row r="1812" spans="1:33" s="14" customFormat="1">
      <c r="A1812" s="10">
        <v>43305</v>
      </c>
      <c r="B1812" s="3" t="s">
        <v>339</v>
      </c>
      <c r="C1812" s="15" t="s">
        <v>47</v>
      </c>
      <c r="D1812" s="15">
        <v>580</v>
      </c>
      <c r="E1812" s="11">
        <v>1250</v>
      </c>
      <c r="F1812" s="3" t="s">
        <v>8</v>
      </c>
      <c r="G1812" s="46">
        <v>7.5</v>
      </c>
      <c r="H1812" s="3">
        <v>9</v>
      </c>
      <c r="I1812" s="46">
        <v>0</v>
      </c>
      <c r="J1812" s="55">
        <v>0</v>
      </c>
      <c r="K1812" s="1">
        <f t="shared" ref="K1812" si="2626">(IF(F1812="SELL",G1812-H1812,IF(F1812="BUY",H1812-G1812)))*E1812</f>
        <v>1875</v>
      </c>
      <c r="L1812" s="51">
        <v>0</v>
      </c>
      <c r="M1812" s="52">
        <v>0</v>
      </c>
      <c r="N1812" s="2">
        <f t="shared" si="2545"/>
        <v>1.5</v>
      </c>
      <c r="O1812" s="2">
        <f t="shared" si="2563"/>
        <v>1875</v>
      </c>
      <c r="P1812" s="13"/>
      <c r="Q1812" s="13"/>
      <c r="R1812" s="13"/>
      <c r="S1812" s="13"/>
      <c r="T1812" s="13"/>
      <c r="U1812" s="13"/>
      <c r="V1812" s="13"/>
      <c r="W1812" s="13"/>
      <c r="X1812" s="13"/>
      <c r="Y1812" s="13"/>
      <c r="Z1812" s="13"/>
      <c r="AA1812" s="13"/>
      <c r="AB1812" s="13"/>
      <c r="AC1812" s="13"/>
      <c r="AD1812" s="13"/>
      <c r="AE1812" s="13"/>
      <c r="AF1812" s="13"/>
      <c r="AG1812" s="13"/>
    </row>
    <row r="1813" spans="1:33" s="14" customFormat="1">
      <c r="A1813" s="10">
        <v>43305</v>
      </c>
      <c r="B1813" s="3" t="s">
        <v>232</v>
      </c>
      <c r="C1813" s="15" t="s">
        <v>47</v>
      </c>
      <c r="D1813" s="15">
        <v>400</v>
      </c>
      <c r="E1813" s="11">
        <v>1300</v>
      </c>
      <c r="F1813" s="3" t="s">
        <v>8</v>
      </c>
      <c r="G1813" s="46">
        <v>7</v>
      </c>
      <c r="H1813" s="3">
        <v>8</v>
      </c>
      <c r="I1813" s="46">
        <v>0</v>
      </c>
      <c r="J1813" s="55">
        <v>0</v>
      </c>
      <c r="K1813" s="1">
        <f t="shared" ref="K1813" si="2627">(IF(F1813="SELL",G1813-H1813,IF(F1813="BUY",H1813-G1813)))*E1813</f>
        <v>1300</v>
      </c>
      <c r="L1813" s="51">
        <v>0</v>
      </c>
      <c r="M1813" s="52">
        <v>0</v>
      </c>
      <c r="N1813" s="2">
        <f t="shared" ref="N1813:N1876" si="2628">(L1813+K1813+M1813)/E1813</f>
        <v>1</v>
      </c>
      <c r="O1813" s="2">
        <f t="shared" si="2563"/>
        <v>1300</v>
      </c>
      <c r="P1813" s="13"/>
      <c r="Q1813" s="13"/>
      <c r="R1813" s="13"/>
      <c r="S1813" s="13"/>
      <c r="T1813" s="13"/>
      <c r="U1813" s="13"/>
      <c r="V1813" s="13"/>
      <c r="W1813" s="13"/>
      <c r="X1813" s="13"/>
      <c r="Y1813" s="13"/>
      <c r="Z1813" s="13"/>
      <c r="AA1813" s="13"/>
      <c r="AB1813" s="13"/>
      <c r="AC1813" s="13"/>
      <c r="AD1813" s="13"/>
      <c r="AE1813" s="13"/>
      <c r="AF1813" s="13"/>
      <c r="AG1813" s="13"/>
    </row>
    <row r="1814" spans="1:33" s="14" customFormat="1">
      <c r="A1814" s="10">
        <v>43305</v>
      </c>
      <c r="B1814" s="3" t="s">
        <v>321</v>
      </c>
      <c r="C1814" s="15" t="s">
        <v>47</v>
      </c>
      <c r="D1814" s="15">
        <v>820</v>
      </c>
      <c r="E1814" s="11">
        <v>800</v>
      </c>
      <c r="F1814" s="3" t="s">
        <v>8</v>
      </c>
      <c r="G1814" s="46">
        <v>20</v>
      </c>
      <c r="H1814" s="3">
        <v>23</v>
      </c>
      <c r="I1814" s="46">
        <v>0</v>
      </c>
      <c r="J1814" s="55">
        <v>0</v>
      </c>
      <c r="K1814" s="1">
        <f t="shared" ref="K1814" si="2629">(IF(F1814="SELL",G1814-H1814,IF(F1814="BUY",H1814-G1814)))*E1814</f>
        <v>2400</v>
      </c>
      <c r="L1814" s="51">
        <v>0</v>
      </c>
      <c r="M1814" s="52">
        <v>0</v>
      </c>
      <c r="N1814" s="2">
        <f t="shared" si="2628"/>
        <v>3</v>
      </c>
      <c r="O1814" s="2">
        <f t="shared" si="2563"/>
        <v>2400</v>
      </c>
      <c r="P1814" s="13"/>
      <c r="Q1814" s="13"/>
      <c r="R1814" s="13"/>
      <c r="S1814" s="13"/>
      <c r="T1814" s="13"/>
      <c r="U1814" s="13"/>
      <c r="V1814" s="13"/>
      <c r="W1814" s="13"/>
      <c r="X1814" s="13"/>
      <c r="Y1814" s="13"/>
      <c r="Z1814" s="13"/>
      <c r="AA1814" s="13"/>
      <c r="AB1814" s="13"/>
      <c r="AC1814" s="13"/>
      <c r="AD1814" s="13"/>
      <c r="AE1814" s="13"/>
      <c r="AF1814" s="13"/>
      <c r="AG1814" s="13"/>
    </row>
    <row r="1815" spans="1:33" s="14" customFormat="1">
      <c r="A1815" s="10">
        <v>43304</v>
      </c>
      <c r="B1815" s="3" t="s">
        <v>189</v>
      </c>
      <c r="C1815" s="15" t="s">
        <v>47</v>
      </c>
      <c r="D1815" s="15">
        <v>350</v>
      </c>
      <c r="E1815" s="11">
        <v>1500</v>
      </c>
      <c r="F1815" s="3" t="s">
        <v>8</v>
      </c>
      <c r="G1815" s="46">
        <v>10.5</v>
      </c>
      <c r="H1815" s="3">
        <v>11.5</v>
      </c>
      <c r="I1815" s="46">
        <v>13.5</v>
      </c>
      <c r="J1815" s="55">
        <v>16</v>
      </c>
      <c r="K1815" s="1">
        <f t="shared" ref="K1815" si="2630">(IF(F1815="SELL",G1815-H1815,IF(F1815="BUY",H1815-G1815)))*E1815</f>
        <v>1500</v>
      </c>
      <c r="L1815" s="51">
        <f t="shared" ref="L1815" si="2631">(IF(F1815="SELL",IF(I1815="",0,H1815-I1815),IF(F1815="BUY",IF(I1815="",0,I1815-H1815))))*E1815</f>
        <v>3000</v>
      </c>
      <c r="M1815" s="52">
        <v>3750</v>
      </c>
      <c r="N1815" s="2">
        <f t="shared" si="2628"/>
        <v>5.5</v>
      </c>
      <c r="O1815" s="2">
        <f t="shared" si="2563"/>
        <v>8250</v>
      </c>
      <c r="P1815" s="13"/>
      <c r="Q1815" s="13"/>
      <c r="R1815" s="13"/>
      <c r="S1815" s="13"/>
      <c r="T1815" s="13"/>
      <c r="U1815" s="13"/>
      <c r="V1815" s="13"/>
      <c r="W1815" s="13"/>
      <c r="X1815" s="13"/>
      <c r="Y1815" s="13"/>
      <c r="Z1815" s="13"/>
      <c r="AA1815" s="13"/>
      <c r="AB1815" s="13"/>
      <c r="AC1815" s="13"/>
      <c r="AD1815" s="13"/>
      <c r="AE1815" s="13"/>
      <c r="AF1815" s="13"/>
      <c r="AG1815" s="13"/>
    </row>
    <row r="1816" spans="1:33" s="14" customFormat="1">
      <c r="A1816" s="10">
        <v>43304</v>
      </c>
      <c r="B1816" s="3" t="s">
        <v>232</v>
      </c>
      <c r="C1816" s="15" t="s">
        <v>47</v>
      </c>
      <c r="D1816" s="15">
        <v>390</v>
      </c>
      <c r="E1816" s="11">
        <v>1300</v>
      </c>
      <c r="F1816" s="3" t="s">
        <v>8</v>
      </c>
      <c r="G1816" s="46">
        <v>7.15</v>
      </c>
      <c r="H1816" s="3">
        <v>8.15</v>
      </c>
      <c r="I1816" s="46">
        <v>10.15</v>
      </c>
      <c r="J1816" s="55">
        <v>12</v>
      </c>
      <c r="K1816" s="1">
        <f t="shared" ref="K1816" si="2632">(IF(F1816="SELL",G1816-H1816,IF(F1816="BUY",H1816-G1816)))*E1816</f>
        <v>1300</v>
      </c>
      <c r="L1816" s="51">
        <f t="shared" ref="L1816" si="2633">(IF(F1816="SELL",IF(I1816="",0,H1816-I1816),IF(F1816="BUY",IF(I1816="",0,I1816-H1816))))*E1816</f>
        <v>2600</v>
      </c>
      <c r="M1816" s="52">
        <v>2405</v>
      </c>
      <c r="N1816" s="2">
        <f t="shared" si="2628"/>
        <v>4.8499999999999996</v>
      </c>
      <c r="O1816" s="2">
        <f t="shared" si="2563"/>
        <v>6304.9999999999991</v>
      </c>
      <c r="P1816" s="13"/>
      <c r="Q1816" s="13"/>
      <c r="R1816" s="13"/>
      <c r="S1816" s="13"/>
      <c r="T1816" s="13"/>
      <c r="U1816" s="13"/>
      <c r="V1816" s="13"/>
      <c r="W1816" s="13"/>
      <c r="X1816" s="13"/>
      <c r="Y1816" s="13"/>
      <c r="Z1816" s="13"/>
      <c r="AA1816" s="13"/>
      <c r="AB1816" s="13"/>
      <c r="AC1816" s="13"/>
      <c r="AD1816" s="13"/>
      <c r="AE1816" s="13"/>
      <c r="AF1816" s="13"/>
      <c r="AG1816" s="13"/>
    </row>
    <row r="1817" spans="1:33" s="14" customFormat="1">
      <c r="A1817" s="10">
        <v>43304</v>
      </c>
      <c r="B1817" s="3" t="s">
        <v>338</v>
      </c>
      <c r="C1817" s="15" t="s">
        <v>47</v>
      </c>
      <c r="D1817" s="15">
        <v>500</v>
      </c>
      <c r="E1817" s="11">
        <v>800</v>
      </c>
      <c r="F1817" s="3" t="s">
        <v>8</v>
      </c>
      <c r="G1817" s="46">
        <v>10</v>
      </c>
      <c r="H1817" s="3">
        <v>12</v>
      </c>
      <c r="I1817" s="46">
        <v>16</v>
      </c>
      <c r="J1817" s="55">
        <v>0</v>
      </c>
      <c r="K1817" s="1">
        <f t="shared" ref="K1817" si="2634">(IF(F1817="SELL",G1817-H1817,IF(F1817="BUY",H1817-G1817)))*E1817</f>
        <v>1600</v>
      </c>
      <c r="L1817" s="51">
        <f t="shared" ref="L1817" si="2635">(IF(F1817="SELL",IF(I1817="",0,H1817-I1817),IF(F1817="BUY",IF(I1817="",0,I1817-H1817))))*E1817</f>
        <v>3200</v>
      </c>
      <c r="M1817" s="52">
        <v>0</v>
      </c>
      <c r="N1817" s="2">
        <f t="shared" si="2628"/>
        <v>6</v>
      </c>
      <c r="O1817" s="2">
        <f t="shared" si="2563"/>
        <v>4800</v>
      </c>
      <c r="P1817" s="13"/>
      <c r="Q1817" s="13"/>
      <c r="R1817" s="13"/>
      <c r="S1817" s="13"/>
      <c r="T1817" s="13"/>
      <c r="U1817" s="13"/>
      <c r="V1817" s="13"/>
      <c r="W1817" s="13"/>
      <c r="X1817" s="13"/>
      <c r="Y1817" s="13"/>
      <c r="Z1817" s="13"/>
      <c r="AA1817" s="13"/>
      <c r="AB1817" s="13"/>
      <c r="AC1817" s="13"/>
      <c r="AD1817" s="13"/>
      <c r="AE1817" s="13"/>
      <c r="AF1817" s="13"/>
      <c r="AG1817" s="13"/>
    </row>
    <row r="1818" spans="1:33" s="14" customFormat="1">
      <c r="A1818" s="10">
        <v>43304</v>
      </c>
      <c r="B1818" s="3" t="s">
        <v>149</v>
      </c>
      <c r="C1818" s="15" t="s">
        <v>47</v>
      </c>
      <c r="D1818" s="15">
        <v>200</v>
      </c>
      <c r="E1818" s="11">
        <v>2500</v>
      </c>
      <c r="F1818" s="3" t="s">
        <v>8</v>
      </c>
      <c r="G1818" s="46">
        <v>3.4</v>
      </c>
      <c r="H1818" s="3">
        <v>3.9</v>
      </c>
      <c r="I1818" s="46">
        <v>0</v>
      </c>
      <c r="J1818" s="55">
        <v>0</v>
      </c>
      <c r="K1818" s="1">
        <f t="shared" ref="K1818" si="2636">(IF(F1818="SELL",G1818-H1818,IF(F1818="BUY",H1818-G1818)))*E1818</f>
        <v>1250</v>
      </c>
      <c r="L1818" s="51">
        <v>0</v>
      </c>
      <c r="M1818" s="52">
        <v>0</v>
      </c>
      <c r="N1818" s="2">
        <f t="shared" si="2628"/>
        <v>0.5</v>
      </c>
      <c r="O1818" s="2">
        <f t="shared" si="2563"/>
        <v>1250</v>
      </c>
      <c r="P1818" s="13"/>
      <c r="Q1818" s="13"/>
      <c r="R1818" s="13"/>
      <c r="S1818" s="13"/>
      <c r="T1818" s="13"/>
      <c r="U1818" s="13"/>
      <c r="V1818" s="13"/>
      <c r="W1818" s="13"/>
      <c r="X1818" s="13"/>
      <c r="Y1818" s="13"/>
      <c r="Z1818" s="13"/>
      <c r="AA1818" s="13"/>
      <c r="AB1818" s="13"/>
      <c r="AC1818" s="13"/>
      <c r="AD1818" s="13"/>
      <c r="AE1818" s="13"/>
      <c r="AF1818" s="13"/>
      <c r="AG1818" s="13"/>
    </row>
    <row r="1819" spans="1:33" s="14" customFormat="1">
      <c r="A1819" s="10">
        <v>43304</v>
      </c>
      <c r="B1819" s="3" t="s">
        <v>205</v>
      </c>
      <c r="C1819" s="15" t="s">
        <v>47</v>
      </c>
      <c r="D1819" s="15">
        <v>1300</v>
      </c>
      <c r="E1819" s="11">
        <v>400</v>
      </c>
      <c r="F1819" s="3" t="s">
        <v>8</v>
      </c>
      <c r="G1819" s="46">
        <v>40.5</v>
      </c>
      <c r="H1819" s="3">
        <v>33</v>
      </c>
      <c r="I1819" s="46">
        <v>0</v>
      </c>
      <c r="J1819" s="55">
        <v>0</v>
      </c>
      <c r="K1819" s="1">
        <f t="shared" ref="K1819" si="2637">(IF(F1819="SELL",G1819-H1819,IF(F1819="BUY",H1819-G1819)))*E1819</f>
        <v>-3000</v>
      </c>
      <c r="L1819" s="51">
        <v>0</v>
      </c>
      <c r="M1819" s="52">
        <v>0</v>
      </c>
      <c r="N1819" s="2">
        <f t="shared" si="2628"/>
        <v>-7.5</v>
      </c>
      <c r="O1819" s="2">
        <f t="shared" si="2563"/>
        <v>-3000</v>
      </c>
      <c r="P1819" s="13"/>
      <c r="Q1819" s="13"/>
      <c r="R1819" s="13"/>
      <c r="S1819" s="13"/>
      <c r="T1819" s="13"/>
      <c r="U1819" s="13"/>
      <c r="V1819" s="13"/>
      <c r="W1819" s="13"/>
      <c r="X1819" s="13"/>
      <c r="Y1819" s="13"/>
      <c r="Z1819" s="13"/>
      <c r="AA1819" s="13"/>
      <c r="AB1819" s="13"/>
      <c r="AC1819" s="13"/>
      <c r="AD1819" s="13"/>
      <c r="AE1819" s="13"/>
      <c r="AF1819" s="13"/>
      <c r="AG1819" s="13"/>
    </row>
    <row r="1820" spans="1:33" s="14" customFormat="1">
      <c r="A1820" s="10">
        <v>43301</v>
      </c>
      <c r="B1820" s="3" t="s">
        <v>337</v>
      </c>
      <c r="C1820" s="15" t="s">
        <v>47</v>
      </c>
      <c r="D1820" s="15">
        <v>1300</v>
      </c>
      <c r="E1820" s="11">
        <v>350</v>
      </c>
      <c r="F1820" s="3" t="s">
        <v>8</v>
      </c>
      <c r="G1820" s="46">
        <v>42</v>
      </c>
      <c r="H1820" s="3">
        <v>46</v>
      </c>
      <c r="I1820" s="46">
        <v>50</v>
      </c>
      <c r="J1820" s="55">
        <v>55</v>
      </c>
      <c r="K1820" s="1">
        <f t="shared" ref="K1820" si="2638">(IF(F1820="SELL",G1820-H1820,IF(F1820="BUY",H1820-G1820)))*E1820</f>
        <v>1400</v>
      </c>
      <c r="L1820" s="51">
        <f t="shared" ref="L1820" si="2639">(IF(F1820="SELL",IF(I1820="",0,H1820-I1820),IF(F1820="BUY",IF(I1820="",0,I1820-H1820))))*E1820</f>
        <v>1400</v>
      </c>
      <c r="M1820" s="52">
        <v>2750</v>
      </c>
      <c r="N1820" s="2">
        <f t="shared" si="2628"/>
        <v>15.857142857142858</v>
      </c>
      <c r="O1820" s="2">
        <f t="shared" si="2563"/>
        <v>5550</v>
      </c>
      <c r="P1820" s="13"/>
      <c r="Q1820" s="13"/>
      <c r="R1820" s="13"/>
      <c r="S1820" s="13"/>
      <c r="T1820" s="13"/>
      <c r="U1820" s="13"/>
      <c r="V1820" s="13"/>
      <c r="W1820" s="13"/>
      <c r="X1820" s="13"/>
      <c r="Y1820" s="13"/>
      <c r="Z1820" s="13"/>
      <c r="AA1820" s="13"/>
      <c r="AB1820" s="13"/>
      <c r="AC1820" s="13"/>
      <c r="AD1820" s="13"/>
      <c r="AE1820" s="13"/>
      <c r="AF1820" s="13"/>
      <c r="AG1820" s="13"/>
    </row>
    <row r="1821" spans="1:33" s="14" customFormat="1">
      <c r="A1821" s="10">
        <v>43301</v>
      </c>
      <c r="B1821" s="3" t="s">
        <v>336</v>
      </c>
      <c r="C1821" s="15" t="s">
        <v>47</v>
      </c>
      <c r="D1821" s="15">
        <v>1200</v>
      </c>
      <c r="E1821" s="11">
        <v>800</v>
      </c>
      <c r="F1821" s="3" t="s">
        <v>8</v>
      </c>
      <c r="G1821" s="46">
        <v>16</v>
      </c>
      <c r="H1821" s="3">
        <v>18</v>
      </c>
      <c r="I1821" s="46">
        <v>22</v>
      </c>
      <c r="J1821" s="55">
        <v>26</v>
      </c>
      <c r="K1821" s="1">
        <f t="shared" ref="K1821" si="2640">(IF(F1821="SELL",G1821-H1821,IF(F1821="BUY",H1821-G1821)))*E1821</f>
        <v>1600</v>
      </c>
      <c r="L1821" s="51">
        <f t="shared" ref="L1821" si="2641">(IF(F1821="SELL",IF(I1821="",0,H1821-I1821),IF(F1821="BUY",IF(I1821="",0,I1821-H1821))))*E1821</f>
        <v>3200</v>
      </c>
      <c r="M1821" s="52">
        <v>3200</v>
      </c>
      <c r="N1821" s="2">
        <f t="shared" si="2628"/>
        <v>10</v>
      </c>
      <c r="O1821" s="2">
        <f t="shared" si="2563"/>
        <v>8000</v>
      </c>
      <c r="P1821" s="13"/>
      <c r="Q1821" s="13"/>
      <c r="R1821" s="13"/>
      <c r="S1821" s="13"/>
      <c r="T1821" s="13"/>
      <c r="U1821" s="13"/>
      <c r="V1821" s="13"/>
      <c r="W1821" s="13"/>
      <c r="X1821" s="13"/>
      <c r="Y1821" s="13"/>
      <c r="Z1821" s="13"/>
      <c r="AA1821" s="13"/>
      <c r="AB1821" s="13"/>
      <c r="AC1821" s="13"/>
      <c r="AD1821" s="13"/>
      <c r="AE1821" s="13"/>
      <c r="AF1821" s="13"/>
      <c r="AG1821" s="13"/>
    </row>
    <row r="1822" spans="1:33" s="14" customFormat="1">
      <c r="A1822" s="10">
        <v>43300</v>
      </c>
      <c r="B1822" s="3" t="s">
        <v>249</v>
      </c>
      <c r="C1822" s="15" t="s">
        <v>47</v>
      </c>
      <c r="D1822" s="15">
        <v>270</v>
      </c>
      <c r="E1822" s="11">
        <v>2750</v>
      </c>
      <c r="F1822" s="3" t="s">
        <v>8</v>
      </c>
      <c r="G1822" s="46">
        <v>4.95</v>
      </c>
      <c r="H1822" s="3">
        <v>5.4</v>
      </c>
      <c r="I1822" s="46">
        <v>6.4</v>
      </c>
      <c r="J1822" s="55">
        <v>7.4</v>
      </c>
      <c r="K1822" s="1">
        <f t="shared" ref="K1822" si="2642">(IF(F1822="SELL",G1822-H1822,IF(F1822="BUY",H1822-G1822)))*E1822</f>
        <v>1237.5000000000005</v>
      </c>
      <c r="L1822" s="51">
        <f t="shared" ref="L1822" si="2643">(IF(F1822="SELL",IF(I1822="",0,H1822-I1822),IF(F1822="BUY",IF(I1822="",0,I1822-H1822))))*E1822</f>
        <v>2750</v>
      </c>
      <c r="M1822" s="52">
        <v>2750</v>
      </c>
      <c r="N1822" s="2">
        <f t="shared" si="2628"/>
        <v>2.4500000000000002</v>
      </c>
      <c r="O1822" s="2">
        <f t="shared" si="2563"/>
        <v>6737.5000000000009</v>
      </c>
      <c r="P1822" s="13"/>
      <c r="Q1822" s="13"/>
      <c r="R1822" s="13"/>
      <c r="S1822" s="13"/>
      <c r="T1822" s="13"/>
      <c r="U1822" s="13"/>
      <c r="V1822" s="13"/>
      <c r="W1822" s="13"/>
      <c r="X1822" s="13"/>
      <c r="Y1822" s="13"/>
      <c r="Z1822" s="13"/>
      <c r="AA1822" s="13"/>
      <c r="AB1822" s="13"/>
      <c r="AC1822" s="13"/>
      <c r="AD1822" s="13"/>
      <c r="AE1822" s="13"/>
      <c r="AF1822" s="13"/>
      <c r="AG1822" s="13"/>
    </row>
    <row r="1823" spans="1:33" s="14" customFormat="1">
      <c r="A1823" s="10">
        <v>43300</v>
      </c>
      <c r="B1823" s="3" t="s">
        <v>157</v>
      </c>
      <c r="C1823" s="15" t="s">
        <v>47</v>
      </c>
      <c r="D1823" s="15">
        <v>840</v>
      </c>
      <c r="E1823" s="11">
        <v>750</v>
      </c>
      <c r="F1823" s="3" t="s">
        <v>8</v>
      </c>
      <c r="G1823" s="46">
        <v>22</v>
      </c>
      <c r="H1823" s="3">
        <v>24</v>
      </c>
      <c r="I1823" s="46">
        <v>28</v>
      </c>
      <c r="J1823" s="55">
        <v>32</v>
      </c>
      <c r="K1823" s="1">
        <f t="shared" ref="K1823" si="2644">(IF(F1823="SELL",G1823-H1823,IF(F1823="BUY",H1823-G1823)))*E1823</f>
        <v>1500</v>
      </c>
      <c r="L1823" s="51">
        <f t="shared" ref="L1823" si="2645">(IF(F1823="SELL",IF(I1823="",0,H1823-I1823),IF(F1823="BUY",IF(I1823="",0,I1823-H1823))))*E1823</f>
        <v>3000</v>
      </c>
      <c r="M1823" s="52">
        <v>3000</v>
      </c>
      <c r="N1823" s="2">
        <f t="shared" si="2628"/>
        <v>10</v>
      </c>
      <c r="O1823" s="2">
        <f t="shared" si="2563"/>
        <v>7500</v>
      </c>
      <c r="P1823" s="13"/>
      <c r="Q1823" s="13"/>
      <c r="R1823" s="13"/>
      <c r="S1823" s="13"/>
      <c r="T1823" s="13"/>
      <c r="U1823" s="13"/>
      <c r="V1823" s="13"/>
      <c r="W1823" s="13"/>
      <c r="X1823" s="13"/>
      <c r="Y1823" s="13"/>
      <c r="Z1823" s="13"/>
      <c r="AA1823" s="13"/>
      <c r="AB1823" s="13"/>
      <c r="AC1823" s="13"/>
      <c r="AD1823" s="13"/>
      <c r="AE1823" s="13"/>
      <c r="AF1823" s="13"/>
      <c r="AG1823" s="13"/>
    </row>
    <row r="1824" spans="1:33" s="14" customFormat="1">
      <c r="A1824" s="10">
        <v>43299</v>
      </c>
      <c r="B1824" s="3" t="s">
        <v>277</v>
      </c>
      <c r="C1824" s="15" t="s">
        <v>47</v>
      </c>
      <c r="D1824" s="15">
        <v>150</v>
      </c>
      <c r="E1824" s="11">
        <v>4500</v>
      </c>
      <c r="F1824" s="3" t="s">
        <v>8</v>
      </c>
      <c r="G1824" s="46">
        <v>4.9000000000000004</v>
      </c>
      <c r="H1824" s="3">
        <v>5.3</v>
      </c>
      <c r="I1824" s="46">
        <v>0</v>
      </c>
      <c r="J1824" s="55">
        <v>0</v>
      </c>
      <c r="K1824" s="1">
        <f t="shared" ref="K1824" si="2646">(IF(F1824="SELL",G1824-H1824,IF(F1824="BUY",H1824-G1824)))*E1824</f>
        <v>1799.9999999999975</v>
      </c>
      <c r="L1824" s="51">
        <v>0</v>
      </c>
      <c r="M1824" s="52">
        <v>0</v>
      </c>
      <c r="N1824" s="2">
        <f t="shared" si="2628"/>
        <v>0.39999999999999947</v>
      </c>
      <c r="O1824" s="2">
        <f t="shared" ref="O1824:O1887" si="2647">N1824*E1824</f>
        <v>1799.9999999999975</v>
      </c>
      <c r="P1824" s="13"/>
      <c r="Q1824" s="13"/>
      <c r="R1824" s="13"/>
      <c r="S1824" s="13"/>
      <c r="T1824" s="13"/>
      <c r="U1824" s="13"/>
      <c r="V1824" s="13"/>
      <c r="W1824" s="13"/>
      <c r="X1824" s="13"/>
      <c r="Y1824" s="13"/>
      <c r="Z1824" s="13"/>
      <c r="AA1824" s="13"/>
      <c r="AB1824" s="13"/>
      <c r="AC1824" s="13"/>
      <c r="AD1824" s="13"/>
      <c r="AE1824" s="13"/>
      <c r="AF1824" s="13"/>
      <c r="AG1824" s="13"/>
    </row>
    <row r="1825" spans="1:33" s="14" customFormat="1">
      <c r="A1825" s="10">
        <v>43299</v>
      </c>
      <c r="B1825" s="3" t="s">
        <v>207</v>
      </c>
      <c r="C1825" s="15" t="s">
        <v>47</v>
      </c>
      <c r="D1825" s="15">
        <v>850</v>
      </c>
      <c r="E1825" s="11">
        <v>550</v>
      </c>
      <c r="F1825" s="3" t="s">
        <v>8</v>
      </c>
      <c r="G1825" s="46">
        <v>19</v>
      </c>
      <c r="H1825" s="3">
        <v>22</v>
      </c>
      <c r="I1825" s="46">
        <v>26</v>
      </c>
      <c r="J1825" s="55">
        <v>0</v>
      </c>
      <c r="K1825" s="1">
        <f t="shared" ref="K1825" si="2648">(IF(F1825="SELL",G1825-H1825,IF(F1825="BUY",H1825-G1825)))*E1825</f>
        <v>1650</v>
      </c>
      <c r="L1825" s="51">
        <f t="shared" ref="L1825" si="2649">(IF(F1825="SELL",IF(I1825="",0,H1825-I1825),IF(F1825="BUY",IF(I1825="",0,I1825-H1825))))*E1825</f>
        <v>2200</v>
      </c>
      <c r="M1825" s="52">
        <v>0</v>
      </c>
      <c r="N1825" s="2">
        <f t="shared" si="2628"/>
        <v>7</v>
      </c>
      <c r="O1825" s="2">
        <f t="shared" si="2647"/>
        <v>3850</v>
      </c>
      <c r="P1825" s="13"/>
      <c r="Q1825" s="13"/>
      <c r="R1825" s="13"/>
      <c r="S1825" s="13"/>
      <c r="T1825" s="13"/>
      <c r="U1825" s="13"/>
      <c r="V1825" s="13"/>
      <c r="W1825" s="13"/>
      <c r="X1825" s="13"/>
      <c r="Y1825" s="13"/>
      <c r="Z1825" s="13"/>
      <c r="AA1825" s="13"/>
      <c r="AB1825" s="13"/>
      <c r="AC1825" s="13"/>
      <c r="AD1825" s="13"/>
      <c r="AE1825" s="13"/>
      <c r="AF1825" s="13"/>
      <c r="AG1825" s="13"/>
    </row>
    <row r="1826" spans="1:33" s="14" customFormat="1">
      <c r="A1826" s="10">
        <v>43299</v>
      </c>
      <c r="B1826" s="3" t="s">
        <v>249</v>
      </c>
      <c r="C1826" s="15" t="s">
        <v>47</v>
      </c>
      <c r="D1826" s="15">
        <v>270</v>
      </c>
      <c r="E1826" s="11">
        <v>2750</v>
      </c>
      <c r="F1826" s="3" t="s">
        <v>8</v>
      </c>
      <c r="G1826" s="46">
        <v>5.3</v>
      </c>
      <c r="H1826" s="3">
        <v>5.7</v>
      </c>
      <c r="I1826" s="46">
        <v>0</v>
      </c>
      <c r="J1826" s="55">
        <v>0</v>
      </c>
      <c r="K1826" s="1">
        <f t="shared" ref="K1826" si="2650">(IF(F1826="SELL",G1826-H1826,IF(F1826="BUY",H1826-G1826)))*E1826</f>
        <v>1100.0000000000009</v>
      </c>
      <c r="L1826" s="51">
        <v>0</v>
      </c>
      <c r="M1826" s="52">
        <v>0</v>
      </c>
      <c r="N1826" s="2">
        <f t="shared" si="2628"/>
        <v>0.40000000000000036</v>
      </c>
      <c r="O1826" s="2">
        <f t="shared" si="2647"/>
        <v>1100.0000000000009</v>
      </c>
      <c r="P1826" s="13"/>
      <c r="Q1826" s="13"/>
      <c r="R1826" s="13"/>
      <c r="S1826" s="13"/>
      <c r="T1826" s="13"/>
      <c r="U1826" s="13"/>
      <c r="V1826" s="13"/>
      <c r="W1826" s="13"/>
      <c r="X1826" s="13"/>
      <c r="Y1826" s="13"/>
      <c r="Z1826" s="13"/>
      <c r="AA1826" s="13"/>
      <c r="AB1826" s="13"/>
      <c r="AC1826" s="13"/>
      <c r="AD1826" s="13"/>
      <c r="AE1826" s="13"/>
      <c r="AF1826" s="13"/>
      <c r="AG1826" s="13"/>
    </row>
    <row r="1827" spans="1:33" s="14" customFormat="1">
      <c r="A1827" s="10">
        <v>43298</v>
      </c>
      <c r="B1827" s="3" t="s">
        <v>335</v>
      </c>
      <c r="C1827" s="15" t="s">
        <v>46</v>
      </c>
      <c r="D1827" s="15">
        <v>2400</v>
      </c>
      <c r="E1827" s="11">
        <v>500</v>
      </c>
      <c r="F1827" s="3" t="s">
        <v>8</v>
      </c>
      <c r="G1827" s="46">
        <v>41</v>
      </c>
      <c r="H1827" s="3">
        <v>33</v>
      </c>
      <c r="I1827" s="46">
        <v>0</v>
      </c>
      <c r="J1827" s="55">
        <v>0</v>
      </c>
      <c r="K1827" s="1">
        <f t="shared" ref="K1827:K1828" si="2651">(IF(F1827="SELL",G1827-H1827,IF(F1827="BUY",H1827-G1827)))*E1827</f>
        <v>-4000</v>
      </c>
      <c r="L1827" s="51">
        <v>0</v>
      </c>
      <c r="M1827" s="52">
        <v>0</v>
      </c>
      <c r="N1827" s="2">
        <f t="shared" si="2628"/>
        <v>-8</v>
      </c>
      <c r="O1827" s="2">
        <f t="shared" si="2647"/>
        <v>-4000</v>
      </c>
      <c r="P1827" s="13"/>
      <c r="Q1827" s="13"/>
      <c r="R1827" s="13"/>
      <c r="S1827" s="13"/>
      <c r="T1827" s="13"/>
      <c r="U1827" s="13"/>
      <c r="V1827" s="13"/>
      <c r="W1827" s="13"/>
      <c r="X1827" s="13"/>
      <c r="Y1827" s="13"/>
      <c r="Z1827" s="13"/>
      <c r="AA1827" s="13"/>
      <c r="AB1827" s="13"/>
      <c r="AC1827" s="13"/>
      <c r="AD1827" s="13"/>
      <c r="AE1827" s="13"/>
      <c r="AF1827" s="13"/>
      <c r="AG1827" s="13"/>
    </row>
    <row r="1828" spans="1:33" s="14" customFormat="1">
      <c r="A1828" s="10">
        <v>43298</v>
      </c>
      <c r="B1828" s="3" t="s">
        <v>157</v>
      </c>
      <c r="C1828" s="15" t="s">
        <v>47</v>
      </c>
      <c r="D1828" s="15">
        <v>840</v>
      </c>
      <c r="E1828" s="11">
        <v>750</v>
      </c>
      <c r="F1828" s="3" t="s">
        <v>8</v>
      </c>
      <c r="G1828" s="46">
        <v>20</v>
      </c>
      <c r="H1828" s="3">
        <v>22</v>
      </c>
      <c r="I1828" s="46">
        <v>0</v>
      </c>
      <c r="J1828" s="55">
        <v>0</v>
      </c>
      <c r="K1828" s="1">
        <f t="shared" si="2651"/>
        <v>1500</v>
      </c>
      <c r="L1828" s="51">
        <v>0</v>
      </c>
      <c r="M1828" s="52">
        <v>0</v>
      </c>
      <c r="N1828" s="2">
        <f t="shared" si="2628"/>
        <v>2</v>
      </c>
      <c r="O1828" s="2">
        <f t="shared" si="2647"/>
        <v>1500</v>
      </c>
      <c r="P1828" s="13"/>
      <c r="Q1828" s="13"/>
      <c r="R1828" s="13"/>
      <c r="S1828" s="13"/>
      <c r="T1828" s="13"/>
      <c r="U1828" s="13"/>
      <c r="V1828" s="13"/>
      <c r="W1828" s="13"/>
      <c r="X1828" s="13"/>
      <c r="Y1828" s="13"/>
      <c r="Z1828" s="13"/>
      <c r="AA1828" s="13"/>
      <c r="AB1828" s="13"/>
      <c r="AC1828" s="13"/>
      <c r="AD1828" s="13"/>
      <c r="AE1828" s="13"/>
      <c r="AF1828" s="13"/>
      <c r="AG1828" s="13"/>
    </row>
    <row r="1829" spans="1:33" s="14" customFormat="1">
      <c r="A1829" s="10">
        <v>43298</v>
      </c>
      <c r="B1829" s="3" t="s">
        <v>154</v>
      </c>
      <c r="C1829" s="15" t="s">
        <v>47</v>
      </c>
      <c r="D1829" s="15">
        <v>390</v>
      </c>
      <c r="E1829" s="11">
        <v>1800</v>
      </c>
      <c r="F1829" s="3" t="s">
        <v>8</v>
      </c>
      <c r="G1829" s="46">
        <v>13</v>
      </c>
      <c r="H1829" s="3">
        <v>14</v>
      </c>
      <c r="I1829" s="46">
        <v>0</v>
      </c>
      <c r="J1829" s="55">
        <v>0</v>
      </c>
      <c r="K1829" s="1">
        <f t="shared" ref="K1829" si="2652">(IF(F1829="SELL",G1829-H1829,IF(F1829="BUY",H1829-G1829)))*E1829</f>
        <v>1800</v>
      </c>
      <c r="L1829" s="51">
        <v>0</v>
      </c>
      <c r="M1829" s="52">
        <v>0</v>
      </c>
      <c r="N1829" s="2">
        <f t="shared" si="2628"/>
        <v>1</v>
      </c>
      <c r="O1829" s="2">
        <f t="shared" si="2647"/>
        <v>1800</v>
      </c>
      <c r="P1829" s="13"/>
      <c r="Q1829" s="13"/>
      <c r="R1829" s="13"/>
      <c r="S1829" s="13"/>
      <c r="T1829" s="13"/>
      <c r="U1829" s="13"/>
      <c r="V1829" s="13"/>
      <c r="W1829" s="13"/>
      <c r="X1829" s="13"/>
      <c r="Y1829" s="13"/>
      <c r="Z1829" s="13"/>
      <c r="AA1829" s="13"/>
      <c r="AB1829" s="13"/>
      <c r="AC1829" s="13"/>
      <c r="AD1829" s="13"/>
      <c r="AE1829" s="13"/>
      <c r="AF1829" s="13"/>
      <c r="AG1829" s="13"/>
    </row>
    <row r="1830" spans="1:33" s="14" customFormat="1">
      <c r="A1830" s="10">
        <v>43297</v>
      </c>
      <c r="B1830" s="3" t="s">
        <v>154</v>
      </c>
      <c r="C1830" s="15" t="s">
        <v>47</v>
      </c>
      <c r="D1830" s="15">
        <v>390</v>
      </c>
      <c r="E1830" s="11">
        <v>1800</v>
      </c>
      <c r="F1830" s="3" t="s">
        <v>8</v>
      </c>
      <c r="G1830" s="46">
        <v>9</v>
      </c>
      <c r="H1830" s="3">
        <v>9.6999999999999993</v>
      </c>
      <c r="I1830" s="46">
        <v>0</v>
      </c>
      <c r="J1830" s="55">
        <v>0</v>
      </c>
      <c r="K1830" s="1">
        <f t="shared" ref="K1830" si="2653">(IF(F1830="SELL",G1830-H1830,IF(F1830="BUY",H1830-G1830)))*E1830</f>
        <v>1259.9999999999986</v>
      </c>
      <c r="L1830" s="51">
        <v>0</v>
      </c>
      <c r="M1830" s="52">
        <v>0</v>
      </c>
      <c r="N1830" s="2">
        <f t="shared" si="2628"/>
        <v>0.69999999999999929</v>
      </c>
      <c r="O1830" s="2">
        <f t="shared" si="2647"/>
        <v>1259.9999999999986</v>
      </c>
      <c r="P1830" s="13"/>
      <c r="Q1830" s="13"/>
      <c r="R1830" s="13"/>
      <c r="S1830" s="13"/>
      <c r="T1830" s="13"/>
      <c r="U1830" s="13"/>
      <c r="V1830" s="13"/>
      <c r="W1830" s="13"/>
      <c r="X1830" s="13"/>
      <c r="Y1830" s="13"/>
      <c r="Z1830" s="13"/>
      <c r="AA1830" s="13"/>
      <c r="AB1830" s="13"/>
      <c r="AC1830" s="13"/>
      <c r="AD1830" s="13"/>
      <c r="AE1830" s="13"/>
      <c r="AF1830" s="13"/>
      <c r="AG1830" s="13"/>
    </row>
    <row r="1831" spans="1:33" s="14" customFormat="1">
      <c r="A1831" s="10">
        <v>43297</v>
      </c>
      <c r="B1831" s="3" t="s">
        <v>252</v>
      </c>
      <c r="C1831" s="15" t="s">
        <v>46</v>
      </c>
      <c r="D1831" s="15">
        <v>130</v>
      </c>
      <c r="E1831" s="11">
        <v>700</v>
      </c>
      <c r="F1831" s="3" t="s">
        <v>8</v>
      </c>
      <c r="G1831" s="46">
        <v>5.55</v>
      </c>
      <c r="H1831" s="3">
        <v>6</v>
      </c>
      <c r="I1831" s="46">
        <v>0</v>
      </c>
      <c r="J1831" s="55">
        <v>0</v>
      </c>
      <c r="K1831" s="1">
        <f t="shared" ref="K1831" si="2654">(IF(F1831="SELL",G1831-H1831,IF(F1831="BUY",H1831-G1831)))*E1831</f>
        <v>315.00000000000011</v>
      </c>
      <c r="L1831" s="51">
        <v>0</v>
      </c>
      <c r="M1831" s="52">
        <v>0</v>
      </c>
      <c r="N1831" s="2">
        <f t="shared" si="2628"/>
        <v>0.45000000000000018</v>
      </c>
      <c r="O1831" s="2">
        <f t="shared" si="2647"/>
        <v>315.00000000000011</v>
      </c>
      <c r="P1831" s="13"/>
      <c r="Q1831" s="13"/>
      <c r="R1831" s="13"/>
      <c r="S1831" s="13"/>
      <c r="T1831" s="13"/>
      <c r="U1831" s="13"/>
      <c r="V1831" s="13"/>
      <c r="W1831" s="13"/>
      <c r="X1831" s="13"/>
      <c r="Y1831" s="13"/>
      <c r="Z1831" s="13"/>
      <c r="AA1831" s="13"/>
      <c r="AB1831" s="13"/>
      <c r="AC1831" s="13"/>
      <c r="AD1831" s="13"/>
      <c r="AE1831" s="13"/>
      <c r="AF1831" s="13"/>
      <c r="AG1831" s="13"/>
    </row>
    <row r="1832" spans="1:33" s="14" customFormat="1">
      <c r="A1832" s="10">
        <v>43294</v>
      </c>
      <c r="B1832" s="3" t="s">
        <v>224</v>
      </c>
      <c r="C1832" s="15" t="s">
        <v>47</v>
      </c>
      <c r="D1832" s="15">
        <v>510</v>
      </c>
      <c r="E1832" s="11">
        <v>1500</v>
      </c>
      <c r="F1832" s="3" t="s">
        <v>8</v>
      </c>
      <c r="G1832" s="46">
        <v>12</v>
      </c>
      <c r="H1832" s="3">
        <v>13</v>
      </c>
      <c r="I1832" s="46">
        <v>15</v>
      </c>
      <c r="J1832" s="55">
        <v>0</v>
      </c>
      <c r="K1832" s="1">
        <f t="shared" ref="K1832:K1833" si="2655">(IF(F1832="SELL",G1832-H1832,IF(F1832="BUY",H1832-G1832)))*E1832</f>
        <v>1500</v>
      </c>
      <c r="L1832" s="51">
        <f t="shared" ref="L1832" si="2656">(IF(F1832="SELL",IF(I1832="",0,H1832-I1832),IF(F1832="BUY",IF(I1832="",0,I1832-H1832))))*E1832</f>
        <v>3000</v>
      </c>
      <c r="M1832" s="52">
        <v>0</v>
      </c>
      <c r="N1832" s="2">
        <f t="shared" si="2628"/>
        <v>3</v>
      </c>
      <c r="O1832" s="2">
        <f t="shared" si="2647"/>
        <v>4500</v>
      </c>
      <c r="P1832" s="13"/>
      <c r="Q1832" s="13"/>
      <c r="R1832" s="13"/>
      <c r="S1832" s="13"/>
      <c r="T1832" s="13"/>
      <c r="U1832" s="13"/>
      <c r="V1832" s="13"/>
      <c r="W1832" s="13"/>
      <c r="X1832" s="13"/>
      <c r="Y1832" s="13"/>
      <c r="Z1832" s="13"/>
      <c r="AA1832" s="13"/>
      <c r="AB1832" s="13"/>
      <c r="AC1832" s="13"/>
      <c r="AD1832" s="13"/>
      <c r="AE1832" s="13"/>
      <c r="AF1832" s="13"/>
      <c r="AG1832" s="13"/>
    </row>
    <row r="1833" spans="1:33" s="14" customFormat="1">
      <c r="A1833" s="10">
        <v>43294</v>
      </c>
      <c r="B1833" s="3" t="s">
        <v>154</v>
      </c>
      <c r="C1833" s="15" t="s">
        <v>47</v>
      </c>
      <c r="D1833" s="15">
        <v>390</v>
      </c>
      <c r="E1833" s="11">
        <v>1800</v>
      </c>
      <c r="F1833" s="3" t="s">
        <v>8</v>
      </c>
      <c r="G1833" s="46">
        <v>9</v>
      </c>
      <c r="H1833" s="3">
        <v>9.75</v>
      </c>
      <c r="I1833" s="46">
        <v>0</v>
      </c>
      <c r="J1833" s="55">
        <v>0</v>
      </c>
      <c r="K1833" s="1">
        <f t="shared" si="2655"/>
        <v>1350</v>
      </c>
      <c r="L1833" s="51">
        <v>0</v>
      </c>
      <c r="M1833" s="52">
        <v>0</v>
      </c>
      <c r="N1833" s="2">
        <f t="shared" si="2628"/>
        <v>0.75</v>
      </c>
      <c r="O1833" s="2">
        <f t="shared" si="2647"/>
        <v>1350</v>
      </c>
      <c r="P1833" s="13"/>
      <c r="Q1833" s="13"/>
      <c r="R1833" s="13"/>
      <c r="S1833" s="13"/>
      <c r="T1833" s="13"/>
      <c r="U1833" s="13"/>
      <c r="V1833" s="13"/>
      <c r="W1833" s="13"/>
      <c r="X1833" s="13"/>
      <c r="Y1833" s="13"/>
      <c r="Z1833" s="13"/>
      <c r="AA1833" s="13"/>
      <c r="AB1833" s="13"/>
      <c r="AC1833" s="13"/>
      <c r="AD1833" s="13"/>
      <c r="AE1833" s="13"/>
      <c r="AF1833" s="13"/>
      <c r="AG1833" s="13"/>
    </row>
    <row r="1834" spans="1:33" s="14" customFormat="1">
      <c r="A1834" s="10">
        <v>43294</v>
      </c>
      <c r="B1834" s="3" t="s">
        <v>211</v>
      </c>
      <c r="C1834" s="15" t="s">
        <v>47</v>
      </c>
      <c r="D1834" s="15">
        <v>1150</v>
      </c>
      <c r="E1834" s="11">
        <v>750</v>
      </c>
      <c r="F1834" s="3" t="s">
        <v>8</v>
      </c>
      <c r="G1834" s="46">
        <v>52.05</v>
      </c>
      <c r="H1834" s="3">
        <v>45</v>
      </c>
      <c r="I1834" s="46">
        <v>0</v>
      </c>
      <c r="J1834" s="55">
        <v>0</v>
      </c>
      <c r="K1834" s="1">
        <f t="shared" ref="K1834:K1835" si="2657">(IF(F1834="SELL",G1834-H1834,IF(F1834="BUY",H1834-G1834)))*E1834</f>
        <v>-5287.4999999999982</v>
      </c>
      <c r="L1834" s="51">
        <v>0</v>
      </c>
      <c r="M1834" s="52">
        <v>0</v>
      </c>
      <c r="N1834" s="2">
        <f t="shared" si="2628"/>
        <v>-7.0499999999999972</v>
      </c>
      <c r="O1834" s="2">
        <f t="shared" si="2647"/>
        <v>-5287.4999999999982</v>
      </c>
      <c r="P1834" s="13"/>
      <c r="Q1834" s="13"/>
      <c r="R1834" s="13"/>
      <c r="S1834" s="13"/>
      <c r="T1834" s="13"/>
      <c r="U1834" s="13"/>
      <c r="V1834" s="13"/>
      <c r="W1834" s="13"/>
      <c r="X1834" s="13"/>
      <c r="Y1834" s="13"/>
      <c r="Z1834" s="13"/>
      <c r="AA1834" s="13"/>
      <c r="AB1834" s="13"/>
      <c r="AC1834" s="13"/>
      <c r="AD1834" s="13"/>
      <c r="AE1834" s="13"/>
      <c r="AF1834" s="13"/>
      <c r="AG1834" s="13"/>
    </row>
    <row r="1835" spans="1:33" s="14" customFormat="1">
      <c r="A1835" s="10">
        <v>43294</v>
      </c>
      <c r="B1835" s="3" t="s">
        <v>291</v>
      </c>
      <c r="C1835" s="15" t="s">
        <v>47</v>
      </c>
      <c r="D1835" s="15">
        <v>2000</v>
      </c>
      <c r="E1835" s="11">
        <v>500</v>
      </c>
      <c r="F1835" s="3" t="s">
        <v>8</v>
      </c>
      <c r="G1835" s="46">
        <v>36</v>
      </c>
      <c r="H1835" s="3">
        <v>28</v>
      </c>
      <c r="I1835" s="46">
        <v>0</v>
      </c>
      <c r="J1835" s="55">
        <v>0</v>
      </c>
      <c r="K1835" s="1">
        <f t="shared" si="2657"/>
        <v>-4000</v>
      </c>
      <c r="L1835" s="51">
        <v>0</v>
      </c>
      <c r="M1835" s="52">
        <v>0</v>
      </c>
      <c r="N1835" s="2">
        <f t="shared" si="2628"/>
        <v>-8</v>
      </c>
      <c r="O1835" s="2">
        <f t="shared" si="2647"/>
        <v>-4000</v>
      </c>
      <c r="P1835" s="13"/>
      <c r="Q1835" s="13"/>
      <c r="R1835" s="13"/>
      <c r="S1835" s="13"/>
      <c r="T1835" s="13"/>
      <c r="U1835" s="13"/>
      <c r="V1835" s="13"/>
      <c r="W1835" s="13"/>
      <c r="X1835" s="13"/>
      <c r="Y1835" s="13"/>
      <c r="Z1835" s="13"/>
      <c r="AA1835" s="13"/>
      <c r="AB1835" s="13"/>
      <c r="AC1835" s="13"/>
      <c r="AD1835" s="13"/>
      <c r="AE1835" s="13"/>
      <c r="AF1835" s="13"/>
      <c r="AG1835" s="13"/>
    </row>
    <row r="1836" spans="1:33" s="14" customFormat="1">
      <c r="A1836" s="10">
        <v>43293</v>
      </c>
      <c r="B1836" s="3" t="s">
        <v>253</v>
      </c>
      <c r="C1836" s="15" t="s">
        <v>47</v>
      </c>
      <c r="D1836" s="15">
        <v>1080</v>
      </c>
      <c r="E1836" s="11">
        <v>1200</v>
      </c>
      <c r="F1836" s="3" t="s">
        <v>8</v>
      </c>
      <c r="G1836" s="46">
        <v>31</v>
      </c>
      <c r="H1836" s="3">
        <v>32</v>
      </c>
      <c r="I1836" s="46">
        <v>34.5</v>
      </c>
      <c r="J1836" s="55">
        <v>37</v>
      </c>
      <c r="K1836" s="1">
        <f t="shared" ref="K1836:K1837" si="2658">(IF(F1836="SELL",G1836-H1836,IF(F1836="BUY",H1836-G1836)))*E1836</f>
        <v>1200</v>
      </c>
      <c r="L1836" s="51">
        <f t="shared" ref="L1836:L1838" si="2659">(IF(F1836="SELL",IF(I1836="",0,H1836-I1836),IF(F1836="BUY",IF(I1836="",0,I1836-H1836))))*E1836</f>
        <v>3000</v>
      </c>
      <c r="M1836" s="52">
        <v>3000</v>
      </c>
      <c r="N1836" s="2">
        <f t="shared" si="2628"/>
        <v>6</v>
      </c>
      <c r="O1836" s="2">
        <f t="shared" si="2647"/>
        <v>7200</v>
      </c>
      <c r="P1836" s="13"/>
      <c r="Q1836" s="13"/>
      <c r="R1836" s="13"/>
      <c r="S1836" s="13"/>
      <c r="T1836" s="13"/>
      <c r="U1836" s="13"/>
      <c r="V1836" s="13"/>
      <c r="W1836" s="13"/>
      <c r="X1836" s="13"/>
      <c r="Y1836" s="13"/>
      <c r="Z1836" s="13"/>
      <c r="AA1836" s="13"/>
      <c r="AB1836" s="13"/>
      <c r="AC1836" s="13"/>
      <c r="AD1836" s="13"/>
      <c r="AE1836" s="13"/>
      <c r="AF1836" s="13"/>
      <c r="AG1836" s="13"/>
    </row>
    <row r="1837" spans="1:33" s="14" customFormat="1">
      <c r="A1837" s="10">
        <v>43293</v>
      </c>
      <c r="B1837" s="3" t="s">
        <v>153</v>
      </c>
      <c r="C1837" s="15" t="s">
        <v>47</v>
      </c>
      <c r="D1837" s="15">
        <v>340</v>
      </c>
      <c r="E1837" s="11">
        <v>1200</v>
      </c>
      <c r="F1837" s="3" t="s">
        <v>8</v>
      </c>
      <c r="G1837" s="46">
        <v>19.55</v>
      </c>
      <c r="H1837" s="3">
        <v>20.55</v>
      </c>
      <c r="I1837" s="46">
        <v>0</v>
      </c>
      <c r="J1837" s="55">
        <v>0</v>
      </c>
      <c r="K1837" s="1">
        <f t="shared" si="2658"/>
        <v>1200</v>
      </c>
      <c r="L1837" s="51">
        <v>0</v>
      </c>
      <c r="M1837" s="52">
        <v>0</v>
      </c>
      <c r="N1837" s="2">
        <f t="shared" si="2628"/>
        <v>1</v>
      </c>
      <c r="O1837" s="2">
        <f t="shared" si="2647"/>
        <v>1200</v>
      </c>
      <c r="P1837" s="13"/>
      <c r="Q1837" s="13"/>
      <c r="R1837" s="13"/>
      <c r="S1837" s="13"/>
      <c r="T1837" s="13"/>
      <c r="U1837" s="13"/>
      <c r="V1837" s="13"/>
      <c r="W1837" s="13"/>
      <c r="X1837" s="13"/>
      <c r="Y1837" s="13"/>
      <c r="Z1837" s="13"/>
      <c r="AA1837" s="13"/>
      <c r="AB1837" s="13"/>
      <c r="AC1837" s="13"/>
      <c r="AD1837" s="13"/>
      <c r="AE1837" s="13"/>
      <c r="AF1837" s="13"/>
      <c r="AG1837" s="13"/>
    </row>
    <row r="1838" spans="1:33" s="14" customFormat="1">
      <c r="A1838" s="10">
        <v>43293</v>
      </c>
      <c r="B1838" s="3" t="s">
        <v>169</v>
      </c>
      <c r="C1838" s="15" t="s">
        <v>46</v>
      </c>
      <c r="D1838" s="15">
        <v>780</v>
      </c>
      <c r="E1838" s="11">
        <v>1000</v>
      </c>
      <c r="F1838" s="3" t="s">
        <v>8</v>
      </c>
      <c r="G1838" s="46">
        <v>19.149999999999999</v>
      </c>
      <c r="H1838" s="3">
        <v>21</v>
      </c>
      <c r="I1838" s="46">
        <v>23.6</v>
      </c>
      <c r="J1838" s="55">
        <v>0</v>
      </c>
      <c r="K1838" s="1">
        <f t="shared" ref="K1838" si="2660">(IF(F1838="SELL",G1838-H1838,IF(F1838="BUY",H1838-G1838)))*E1838</f>
        <v>1850.0000000000014</v>
      </c>
      <c r="L1838" s="51">
        <f t="shared" si="2659"/>
        <v>2600.0000000000014</v>
      </c>
      <c r="M1838" s="52">
        <v>0</v>
      </c>
      <c r="N1838" s="2">
        <f t="shared" si="2628"/>
        <v>4.4500000000000028</v>
      </c>
      <c r="O1838" s="2">
        <f t="shared" si="2647"/>
        <v>4450.0000000000027</v>
      </c>
      <c r="P1838" s="13"/>
      <c r="Q1838" s="13"/>
      <c r="R1838" s="13"/>
      <c r="S1838" s="13"/>
      <c r="T1838" s="13"/>
      <c r="U1838" s="13"/>
      <c r="V1838" s="13"/>
      <c r="W1838" s="13"/>
      <c r="X1838" s="13"/>
      <c r="Y1838" s="13"/>
      <c r="Z1838" s="13"/>
      <c r="AA1838" s="13"/>
      <c r="AB1838" s="13"/>
      <c r="AC1838" s="13"/>
      <c r="AD1838" s="13"/>
      <c r="AE1838" s="13"/>
      <c r="AF1838" s="13"/>
      <c r="AG1838" s="13"/>
    </row>
    <row r="1839" spans="1:33" s="14" customFormat="1">
      <c r="A1839" s="10">
        <v>43293</v>
      </c>
      <c r="B1839" s="3" t="s">
        <v>141</v>
      </c>
      <c r="C1839" s="15" t="s">
        <v>47</v>
      </c>
      <c r="D1839" s="15">
        <v>300</v>
      </c>
      <c r="E1839" s="11">
        <v>3000</v>
      </c>
      <c r="F1839" s="3" t="s">
        <v>8</v>
      </c>
      <c r="G1839" s="46">
        <v>8.5</v>
      </c>
      <c r="H1839" s="3">
        <v>9</v>
      </c>
      <c r="I1839" s="46">
        <v>0</v>
      </c>
      <c r="J1839" s="55">
        <v>0</v>
      </c>
      <c r="K1839" s="1">
        <f t="shared" ref="K1839" si="2661">(IF(F1839="SELL",G1839-H1839,IF(F1839="BUY",H1839-G1839)))*E1839</f>
        <v>1500</v>
      </c>
      <c r="L1839" s="51">
        <v>0</v>
      </c>
      <c r="M1839" s="52">
        <v>0</v>
      </c>
      <c r="N1839" s="2">
        <f t="shared" si="2628"/>
        <v>0.5</v>
      </c>
      <c r="O1839" s="2">
        <f t="shared" si="2647"/>
        <v>1500</v>
      </c>
      <c r="P1839" s="13"/>
      <c r="Q1839" s="13"/>
      <c r="R1839" s="13"/>
      <c r="S1839" s="13"/>
      <c r="T1839" s="13"/>
      <c r="U1839" s="13"/>
      <c r="V1839" s="13"/>
      <c r="W1839" s="13"/>
      <c r="X1839" s="13"/>
      <c r="Y1839" s="13"/>
      <c r="Z1839" s="13"/>
      <c r="AA1839" s="13"/>
      <c r="AB1839" s="13"/>
      <c r="AC1839" s="13"/>
      <c r="AD1839" s="13"/>
      <c r="AE1839" s="13"/>
      <c r="AF1839" s="13"/>
      <c r="AG1839" s="13"/>
    </row>
    <row r="1840" spans="1:33" s="14" customFormat="1">
      <c r="A1840" s="10">
        <v>43292</v>
      </c>
      <c r="B1840" s="3" t="s">
        <v>334</v>
      </c>
      <c r="C1840" s="15" t="s">
        <v>47</v>
      </c>
      <c r="D1840" s="15">
        <v>800</v>
      </c>
      <c r="E1840" s="11">
        <v>700</v>
      </c>
      <c r="F1840" s="3" t="s">
        <v>8</v>
      </c>
      <c r="G1840" s="46">
        <v>27.5</v>
      </c>
      <c r="H1840" s="3">
        <v>30</v>
      </c>
      <c r="I1840" s="46">
        <v>0</v>
      </c>
      <c r="J1840" s="55">
        <v>0</v>
      </c>
      <c r="K1840" s="1">
        <f t="shared" ref="K1840" si="2662">(IF(F1840="SELL",G1840-H1840,IF(F1840="BUY",H1840-G1840)))*E1840</f>
        <v>1750</v>
      </c>
      <c r="L1840" s="51">
        <v>0</v>
      </c>
      <c r="M1840" s="52">
        <v>0</v>
      </c>
      <c r="N1840" s="2">
        <f t="shared" si="2628"/>
        <v>2.5</v>
      </c>
      <c r="O1840" s="2">
        <f t="shared" si="2647"/>
        <v>1750</v>
      </c>
      <c r="P1840" s="13"/>
      <c r="Q1840" s="13"/>
      <c r="R1840" s="13"/>
      <c r="S1840" s="13"/>
      <c r="T1840" s="13"/>
      <c r="U1840" s="13"/>
      <c r="V1840" s="13"/>
      <c r="W1840" s="13"/>
      <c r="X1840" s="13"/>
      <c r="Y1840" s="13"/>
      <c r="Z1840" s="13"/>
      <c r="AA1840" s="13"/>
      <c r="AB1840" s="13"/>
      <c r="AC1840" s="13"/>
      <c r="AD1840" s="13"/>
      <c r="AE1840" s="13"/>
      <c r="AF1840" s="13"/>
      <c r="AG1840" s="13"/>
    </row>
    <row r="1841" spans="1:33" s="14" customFormat="1">
      <c r="A1841" s="10">
        <v>43292</v>
      </c>
      <c r="B1841" s="3" t="s">
        <v>284</v>
      </c>
      <c r="C1841" s="15" t="s">
        <v>47</v>
      </c>
      <c r="D1841" s="15">
        <v>920</v>
      </c>
      <c r="E1841" s="11">
        <v>1000</v>
      </c>
      <c r="F1841" s="3" t="s">
        <v>8</v>
      </c>
      <c r="G1841" s="46">
        <v>17.7</v>
      </c>
      <c r="H1841" s="3">
        <v>18.5</v>
      </c>
      <c r="I1841" s="46">
        <v>17</v>
      </c>
      <c r="J1841" s="55">
        <v>19.5</v>
      </c>
      <c r="K1841" s="1">
        <f t="shared" ref="K1841" si="2663">(IF(F1841="SELL",G1841-H1841,IF(F1841="BUY",H1841-G1841)))*E1841</f>
        <v>800.00000000000068</v>
      </c>
      <c r="L1841" s="51">
        <v>0</v>
      </c>
      <c r="M1841" s="52">
        <v>0</v>
      </c>
      <c r="N1841" s="2">
        <f t="shared" si="2628"/>
        <v>0.80000000000000071</v>
      </c>
      <c r="O1841" s="2">
        <f t="shared" si="2647"/>
        <v>800.00000000000068</v>
      </c>
      <c r="P1841" s="13"/>
      <c r="Q1841" s="13"/>
      <c r="R1841" s="13"/>
      <c r="S1841" s="13"/>
      <c r="T1841" s="13"/>
      <c r="U1841" s="13"/>
      <c r="V1841" s="13"/>
      <c r="W1841" s="13"/>
      <c r="X1841" s="13"/>
      <c r="Y1841" s="13"/>
      <c r="Z1841" s="13"/>
      <c r="AA1841" s="13"/>
      <c r="AB1841" s="13"/>
      <c r="AC1841" s="13"/>
      <c r="AD1841" s="13"/>
      <c r="AE1841" s="13"/>
      <c r="AF1841" s="13"/>
      <c r="AG1841" s="13"/>
    </row>
    <row r="1842" spans="1:33" s="14" customFormat="1">
      <c r="A1842" s="10">
        <v>43292</v>
      </c>
      <c r="B1842" s="3" t="s">
        <v>196</v>
      </c>
      <c r="C1842" s="15" t="s">
        <v>47</v>
      </c>
      <c r="D1842" s="15">
        <v>650</v>
      </c>
      <c r="E1842" s="11">
        <v>1200</v>
      </c>
      <c r="F1842" s="3" t="s">
        <v>8</v>
      </c>
      <c r="G1842" s="46">
        <v>16.75</v>
      </c>
      <c r="H1842" s="3">
        <v>0</v>
      </c>
      <c r="I1842" s="46">
        <v>0</v>
      </c>
      <c r="J1842" s="55">
        <v>0</v>
      </c>
      <c r="K1842" s="1">
        <v>0</v>
      </c>
      <c r="L1842" s="51">
        <f t="shared" ref="L1842" si="2664">(IF(F1842="SELL",IF(I1842="",0,H1842-I1842),IF(F1842="BUY",IF(I1842="",0,I1842-H1842))))*E1842</f>
        <v>0</v>
      </c>
      <c r="M1842" s="52">
        <v>0</v>
      </c>
      <c r="N1842" s="2">
        <f t="shared" si="2628"/>
        <v>0</v>
      </c>
      <c r="O1842" s="2">
        <f t="shared" si="2647"/>
        <v>0</v>
      </c>
      <c r="P1842" s="13"/>
      <c r="Q1842" s="13"/>
      <c r="R1842" s="13"/>
      <c r="S1842" s="13"/>
      <c r="T1842" s="13"/>
      <c r="U1842" s="13"/>
      <c r="V1842" s="13"/>
      <c r="W1842" s="13"/>
      <c r="X1842" s="13"/>
      <c r="Y1842" s="13"/>
      <c r="Z1842" s="13"/>
      <c r="AA1842" s="13"/>
      <c r="AB1842" s="13"/>
      <c r="AC1842" s="13"/>
      <c r="AD1842" s="13"/>
      <c r="AE1842" s="13"/>
      <c r="AF1842" s="13"/>
      <c r="AG1842" s="13"/>
    </row>
    <row r="1843" spans="1:33" s="14" customFormat="1">
      <c r="A1843" s="10">
        <v>43291</v>
      </c>
      <c r="B1843" s="3" t="s">
        <v>153</v>
      </c>
      <c r="C1843" s="15" t="s">
        <v>47</v>
      </c>
      <c r="D1843" s="15">
        <v>360</v>
      </c>
      <c r="E1843" s="11">
        <v>1200</v>
      </c>
      <c r="F1843" s="3" t="s">
        <v>8</v>
      </c>
      <c r="G1843" s="46">
        <v>16.75</v>
      </c>
      <c r="H1843" s="3">
        <v>17.75</v>
      </c>
      <c r="I1843" s="46">
        <v>0</v>
      </c>
      <c r="J1843" s="55">
        <v>0</v>
      </c>
      <c r="K1843" s="1">
        <f t="shared" ref="K1843" si="2665">(IF(F1843="SELL",G1843-H1843,IF(F1843="BUY",H1843-G1843)))*E1843</f>
        <v>1200</v>
      </c>
      <c r="L1843" s="51">
        <v>0</v>
      </c>
      <c r="M1843" s="52">
        <v>0</v>
      </c>
      <c r="N1843" s="2">
        <f t="shared" si="2628"/>
        <v>1</v>
      </c>
      <c r="O1843" s="2">
        <f t="shared" si="2647"/>
        <v>1200</v>
      </c>
      <c r="P1843" s="13"/>
      <c r="Q1843" s="13"/>
      <c r="R1843" s="13"/>
      <c r="S1843" s="13"/>
      <c r="T1843" s="13"/>
      <c r="U1843" s="13"/>
      <c r="V1843" s="13"/>
      <c r="W1843" s="13"/>
      <c r="X1843" s="13"/>
      <c r="Y1843" s="13"/>
      <c r="Z1843" s="13"/>
      <c r="AA1843" s="13"/>
      <c r="AB1843" s="13"/>
      <c r="AC1843" s="13"/>
      <c r="AD1843" s="13"/>
      <c r="AE1843" s="13"/>
      <c r="AF1843" s="13"/>
      <c r="AG1843" s="13"/>
    </row>
    <row r="1844" spans="1:33" s="14" customFormat="1">
      <c r="A1844" s="10">
        <v>43291</v>
      </c>
      <c r="B1844" s="3" t="s">
        <v>141</v>
      </c>
      <c r="C1844" s="15" t="s">
        <v>47</v>
      </c>
      <c r="D1844" s="15">
        <v>320</v>
      </c>
      <c r="E1844" s="11">
        <v>3000</v>
      </c>
      <c r="F1844" s="3" t="s">
        <v>8</v>
      </c>
      <c r="G1844" s="46">
        <v>8</v>
      </c>
      <c r="H1844" s="3">
        <v>8.5</v>
      </c>
      <c r="I1844" s="46">
        <v>0</v>
      </c>
      <c r="J1844" s="55">
        <v>0</v>
      </c>
      <c r="K1844" s="1">
        <f t="shared" ref="K1844" si="2666">(IF(F1844="SELL",G1844-H1844,IF(F1844="BUY",H1844-G1844)))*E1844</f>
        <v>1500</v>
      </c>
      <c r="L1844" s="51">
        <v>0</v>
      </c>
      <c r="M1844" s="52">
        <v>0</v>
      </c>
      <c r="N1844" s="2">
        <f t="shared" si="2628"/>
        <v>0.5</v>
      </c>
      <c r="O1844" s="2">
        <f t="shared" si="2647"/>
        <v>1500</v>
      </c>
      <c r="P1844" s="13"/>
      <c r="Q1844" s="13"/>
      <c r="R1844" s="13"/>
      <c r="S1844" s="13"/>
      <c r="T1844" s="13"/>
      <c r="U1844" s="13"/>
      <c r="V1844" s="13"/>
      <c r="W1844" s="13"/>
      <c r="X1844" s="13"/>
      <c r="Y1844" s="13"/>
      <c r="Z1844" s="13"/>
      <c r="AA1844" s="13"/>
      <c r="AB1844" s="13"/>
      <c r="AC1844" s="13"/>
      <c r="AD1844" s="13"/>
      <c r="AE1844" s="13"/>
      <c r="AF1844" s="13"/>
      <c r="AG1844" s="13"/>
    </row>
    <row r="1845" spans="1:33" s="14" customFormat="1">
      <c r="A1845" s="10">
        <v>43290</v>
      </c>
      <c r="B1845" s="3" t="s">
        <v>224</v>
      </c>
      <c r="C1845" s="15" t="s">
        <v>47</v>
      </c>
      <c r="D1845" s="15">
        <v>460</v>
      </c>
      <c r="E1845" s="11">
        <v>1500</v>
      </c>
      <c r="F1845" s="3" t="s">
        <v>8</v>
      </c>
      <c r="G1845" s="46">
        <v>13.55</v>
      </c>
      <c r="H1845" s="3">
        <v>14.55</v>
      </c>
      <c r="I1845" s="46">
        <v>17</v>
      </c>
      <c r="J1845" s="55">
        <v>19.5</v>
      </c>
      <c r="K1845" s="1">
        <f t="shared" ref="K1845" si="2667">(IF(F1845="SELL",G1845-H1845,IF(F1845="BUY",H1845-G1845)))*E1845</f>
        <v>1500</v>
      </c>
      <c r="L1845" s="51">
        <f t="shared" ref="L1845" si="2668">(IF(F1845="SELL",IF(I1845="",0,H1845-I1845),IF(F1845="BUY",IF(I1845="",0,I1845-H1845))))*E1845</f>
        <v>3674.9999999999991</v>
      </c>
      <c r="M1845" s="52">
        <v>3750</v>
      </c>
      <c r="N1845" s="2">
        <f t="shared" si="2628"/>
        <v>5.95</v>
      </c>
      <c r="O1845" s="2">
        <f t="shared" si="2647"/>
        <v>8925</v>
      </c>
      <c r="P1845" s="13"/>
      <c r="Q1845" s="13"/>
      <c r="R1845" s="13"/>
      <c r="S1845" s="13"/>
      <c r="T1845" s="13"/>
      <c r="U1845" s="13"/>
      <c r="V1845" s="13"/>
      <c r="W1845" s="13"/>
      <c r="X1845" s="13"/>
      <c r="Y1845" s="13"/>
      <c r="Z1845" s="13"/>
      <c r="AA1845" s="13"/>
      <c r="AB1845" s="13"/>
      <c r="AC1845" s="13"/>
      <c r="AD1845" s="13"/>
      <c r="AE1845" s="13"/>
      <c r="AF1845" s="13"/>
      <c r="AG1845" s="13"/>
    </row>
    <row r="1846" spans="1:33" s="14" customFormat="1">
      <c r="A1846" s="10">
        <v>43290</v>
      </c>
      <c r="B1846" s="3" t="s">
        <v>232</v>
      </c>
      <c r="C1846" s="15" t="s">
        <v>47</v>
      </c>
      <c r="D1846" s="15">
        <v>400</v>
      </c>
      <c r="E1846" s="11">
        <v>1300</v>
      </c>
      <c r="F1846" s="3" t="s">
        <v>8</v>
      </c>
      <c r="G1846" s="46">
        <v>16.149999999999999</v>
      </c>
      <c r="H1846" s="3">
        <v>17.149999999999999</v>
      </c>
      <c r="I1846" s="46">
        <v>19</v>
      </c>
      <c r="J1846" s="55">
        <v>21</v>
      </c>
      <c r="K1846" s="1">
        <f t="shared" ref="K1846" si="2669">(IF(F1846="SELL",G1846-H1846,IF(F1846="BUY",H1846-G1846)))*E1846</f>
        <v>1300</v>
      </c>
      <c r="L1846" s="51">
        <f t="shared" ref="L1846" si="2670">(IF(F1846="SELL",IF(I1846="",0,H1846-I1846),IF(F1846="BUY",IF(I1846="",0,I1846-H1846))))*E1846</f>
        <v>2405.0000000000018</v>
      </c>
      <c r="M1846" s="52">
        <v>2600</v>
      </c>
      <c r="N1846" s="2">
        <f t="shared" si="2628"/>
        <v>4.8500000000000014</v>
      </c>
      <c r="O1846" s="2">
        <f t="shared" si="2647"/>
        <v>6305.0000000000018</v>
      </c>
      <c r="P1846" s="13"/>
      <c r="Q1846" s="13"/>
      <c r="R1846" s="13"/>
      <c r="S1846" s="13"/>
      <c r="T1846" s="13"/>
      <c r="U1846" s="13"/>
      <c r="V1846" s="13"/>
      <c r="W1846" s="13"/>
      <c r="X1846" s="13"/>
      <c r="Y1846" s="13"/>
      <c r="Z1846" s="13"/>
      <c r="AA1846" s="13"/>
      <c r="AB1846" s="13"/>
      <c r="AC1846" s="13"/>
      <c r="AD1846" s="13"/>
      <c r="AE1846" s="13"/>
      <c r="AF1846" s="13"/>
      <c r="AG1846" s="13"/>
    </row>
    <row r="1847" spans="1:33" s="14" customFormat="1">
      <c r="A1847" s="10">
        <v>43290</v>
      </c>
      <c r="B1847" s="3" t="s">
        <v>189</v>
      </c>
      <c r="C1847" s="15" t="s">
        <v>47</v>
      </c>
      <c r="D1847" s="15">
        <v>380</v>
      </c>
      <c r="E1847" s="11">
        <v>1500</v>
      </c>
      <c r="F1847" s="3" t="s">
        <v>8</v>
      </c>
      <c r="G1847" s="46">
        <v>17</v>
      </c>
      <c r="H1847" s="3">
        <v>18</v>
      </c>
      <c r="I1847" s="46">
        <v>0</v>
      </c>
      <c r="J1847" s="55">
        <v>0</v>
      </c>
      <c r="K1847" s="1">
        <f t="shared" ref="K1847" si="2671">(IF(F1847="SELL",G1847-H1847,IF(F1847="BUY",H1847-G1847)))*E1847</f>
        <v>1500</v>
      </c>
      <c r="L1847" s="51">
        <v>0</v>
      </c>
      <c r="M1847" s="52">
        <v>0</v>
      </c>
      <c r="N1847" s="2">
        <f t="shared" si="2628"/>
        <v>1</v>
      </c>
      <c r="O1847" s="2">
        <f t="shared" si="2647"/>
        <v>1500</v>
      </c>
      <c r="P1847" s="13"/>
      <c r="Q1847" s="13"/>
      <c r="R1847" s="13"/>
      <c r="S1847" s="13"/>
      <c r="T1847" s="13"/>
      <c r="U1847" s="13"/>
      <c r="V1847" s="13"/>
      <c r="W1847" s="13"/>
      <c r="X1847" s="13"/>
      <c r="Y1847" s="13"/>
      <c r="Z1847" s="13"/>
      <c r="AA1847" s="13"/>
      <c r="AB1847" s="13"/>
      <c r="AC1847" s="13"/>
      <c r="AD1847" s="13"/>
      <c r="AE1847" s="13"/>
      <c r="AF1847" s="13"/>
      <c r="AG1847" s="13"/>
    </row>
    <row r="1848" spans="1:33" s="14" customFormat="1">
      <c r="A1848" s="10">
        <v>43290</v>
      </c>
      <c r="B1848" s="3" t="s">
        <v>255</v>
      </c>
      <c r="C1848" s="15" t="s">
        <v>47</v>
      </c>
      <c r="D1848" s="15">
        <v>90</v>
      </c>
      <c r="E1848" s="11">
        <v>6000</v>
      </c>
      <c r="F1848" s="3" t="s">
        <v>8</v>
      </c>
      <c r="G1848" s="46">
        <v>3.75</v>
      </c>
      <c r="H1848" s="3">
        <v>4</v>
      </c>
      <c r="I1848" s="46">
        <v>4.25</v>
      </c>
      <c r="J1848" s="55">
        <v>0</v>
      </c>
      <c r="K1848" s="1">
        <f t="shared" ref="K1848" si="2672">(IF(F1848="SELL",G1848-H1848,IF(F1848="BUY",H1848-G1848)))*E1848</f>
        <v>1500</v>
      </c>
      <c r="L1848" s="51">
        <f t="shared" ref="L1848:L1849" si="2673">(IF(F1848="SELL",IF(I1848="",0,H1848-I1848),IF(F1848="BUY",IF(I1848="",0,I1848-H1848))))*E1848</f>
        <v>1500</v>
      </c>
      <c r="M1848" s="52">
        <v>0</v>
      </c>
      <c r="N1848" s="2">
        <f t="shared" si="2628"/>
        <v>0.5</v>
      </c>
      <c r="O1848" s="2">
        <f t="shared" si="2647"/>
        <v>3000</v>
      </c>
      <c r="P1848" s="13"/>
      <c r="Q1848" s="13"/>
      <c r="R1848" s="13"/>
      <c r="S1848" s="13"/>
      <c r="T1848" s="13"/>
      <c r="U1848" s="13"/>
      <c r="V1848" s="13"/>
      <c r="W1848" s="13"/>
      <c r="X1848" s="13"/>
      <c r="Y1848" s="13"/>
      <c r="Z1848" s="13"/>
      <c r="AA1848" s="13"/>
      <c r="AB1848" s="13"/>
      <c r="AC1848" s="13"/>
      <c r="AD1848" s="13"/>
      <c r="AE1848" s="13"/>
      <c r="AF1848" s="13"/>
      <c r="AG1848" s="13"/>
    </row>
    <row r="1849" spans="1:33" s="14" customFormat="1">
      <c r="A1849" s="10">
        <v>43287</v>
      </c>
      <c r="B1849" s="3" t="s">
        <v>146</v>
      </c>
      <c r="C1849" s="15" t="s">
        <v>47</v>
      </c>
      <c r="D1849" s="15">
        <v>370</v>
      </c>
      <c r="E1849" s="11">
        <v>2500</v>
      </c>
      <c r="F1849" s="3" t="s">
        <v>8</v>
      </c>
      <c r="G1849" s="46">
        <v>9.25</v>
      </c>
      <c r="H1849" s="3">
        <v>9.75</v>
      </c>
      <c r="I1849" s="46">
        <v>11</v>
      </c>
      <c r="J1849" s="55">
        <v>0</v>
      </c>
      <c r="K1849" s="1">
        <f t="shared" ref="K1849" si="2674">(IF(F1849="SELL",G1849-H1849,IF(F1849="BUY",H1849-G1849)))*E1849</f>
        <v>1250</v>
      </c>
      <c r="L1849" s="51">
        <f t="shared" si="2673"/>
        <v>3125</v>
      </c>
      <c r="M1849" s="52">
        <v>0</v>
      </c>
      <c r="N1849" s="2">
        <f t="shared" si="2628"/>
        <v>1.75</v>
      </c>
      <c r="O1849" s="2">
        <f t="shared" si="2647"/>
        <v>4375</v>
      </c>
      <c r="P1849" s="13"/>
      <c r="Q1849" s="13"/>
      <c r="R1849" s="13"/>
      <c r="S1849" s="13"/>
      <c r="T1849" s="13"/>
      <c r="U1849" s="13"/>
      <c r="V1849" s="13"/>
      <c r="W1849" s="13"/>
      <c r="X1849" s="13"/>
      <c r="Y1849" s="13"/>
      <c r="Z1849" s="13"/>
      <c r="AA1849" s="13"/>
      <c r="AB1849" s="13"/>
      <c r="AC1849" s="13"/>
      <c r="AD1849" s="13"/>
      <c r="AE1849" s="13"/>
      <c r="AF1849" s="13"/>
      <c r="AG1849" s="13"/>
    </row>
    <row r="1850" spans="1:33" s="14" customFormat="1">
      <c r="A1850" s="10">
        <v>43287</v>
      </c>
      <c r="B1850" s="3" t="s">
        <v>320</v>
      </c>
      <c r="C1850" s="15" t="s">
        <v>47</v>
      </c>
      <c r="D1850" s="15">
        <v>850</v>
      </c>
      <c r="E1850" s="11">
        <v>500</v>
      </c>
      <c r="F1850" s="3" t="s">
        <v>8</v>
      </c>
      <c r="G1850" s="46">
        <v>37</v>
      </c>
      <c r="H1850" s="3">
        <v>40</v>
      </c>
      <c r="I1850" s="46">
        <v>0</v>
      </c>
      <c r="J1850" s="55">
        <v>0</v>
      </c>
      <c r="K1850" s="1">
        <f t="shared" ref="K1850" si="2675">(IF(F1850="SELL",G1850-H1850,IF(F1850="BUY",H1850-G1850)))*E1850</f>
        <v>1500</v>
      </c>
      <c r="L1850" s="51">
        <v>0</v>
      </c>
      <c r="M1850" s="52">
        <v>0</v>
      </c>
      <c r="N1850" s="2">
        <f t="shared" si="2628"/>
        <v>3</v>
      </c>
      <c r="O1850" s="2">
        <f t="shared" si="2647"/>
        <v>1500</v>
      </c>
      <c r="P1850" s="13"/>
      <c r="Q1850" s="13"/>
      <c r="R1850" s="13"/>
      <c r="S1850" s="13"/>
      <c r="T1850" s="13"/>
      <c r="U1850" s="13"/>
      <c r="V1850" s="13"/>
      <c r="W1850" s="13"/>
      <c r="X1850" s="13"/>
      <c r="Y1850" s="13"/>
      <c r="Z1850" s="13"/>
      <c r="AA1850" s="13"/>
      <c r="AB1850" s="13"/>
      <c r="AC1850" s="13"/>
      <c r="AD1850" s="13"/>
      <c r="AE1850" s="13"/>
      <c r="AF1850" s="13"/>
      <c r="AG1850" s="13"/>
    </row>
    <row r="1851" spans="1:33" s="14" customFormat="1">
      <c r="A1851" s="10">
        <v>43287</v>
      </c>
      <c r="B1851" s="3" t="s">
        <v>320</v>
      </c>
      <c r="C1851" s="15" t="s">
        <v>47</v>
      </c>
      <c r="D1851" s="15">
        <v>850</v>
      </c>
      <c r="E1851" s="11">
        <v>500</v>
      </c>
      <c r="F1851" s="3" t="s">
        <v>8</v>
      </c>
      <c r="G1851" s="46">
        <v>33</v>
      </c>
      <c r="H1851" s="3">
        <v>36</v>
      </c>
      <c r="I1851" s="46">
        <v>0</v>
      </c>
      <c r="J1851" s="55">
        <v>0</v>
      </c>
      <c r="K1851" s="1">
        <f t="shared" ref="K1851" si="2676">(IF(F1851="SELL",G1851-H1851,IF(F1851="BUY",H1851-G1851)))*E1851</f>
        <v>1500</v>
      </c>
      <c r="L1851" s="51">
        <v>0</v>
      </c>
      <c r="M1851" s="52">
        <v>0</v>
      </c>
      <c r="N1851" s="2">
        <f t="shared" si="2628"/>
        <v>3</v>
      </c>
      <c r="O1851" s="2">
        <f t="shared" si="2647"/>
        <v>1500</v>
      </c>
      <c r="P1851" s="13"/>
      <c r="Q1851" s="13"/>
      <c r="R1851" s="13"/>
      <c r="S1851" s="13"/>
      <c r="T1851" s="13"/>
      <c r="U1851" s="13"/>
      <c r="V1851" s="13"/>
      <c r="W1851" s="13"/>
      <c r="X1851" s="13"/>
      <c r="Y1851" s="13"/>
      <c r="Z1851" s="13"/>
      <c r="AA1851" s="13"/>
      <c r="AB1851" s="13"/>
      <c r="AC1851" s="13"/>
      <c r="AD1851" s="13"/>
      <c r="AE1851" s="13"/>
      <c r="AF1851" s="13"/>
      <c r="AG1851" s="13"/>
    </row>
    <row r="1852" spans="1:33" s="14" customFormat="1">
      <c r="A1852" s="10">
        <v>43286</v>
      </c>
      <c r="B1852" s="3" t="s">
        <v>321</v>
      </c>
      <c r="C1852" s="15" t="s">
        <v>47</v>
      </c>
      <c r="D1852" s="15">
        <v>920</v>
      </c>
      <c r="E1852" s="11">
        <v>800</v>
      </c>
      <c r="F1852" s="3" t="s">
        <v>8</v>
      </c>
      <c r="G1852" s="46">
        <v>26.8</v>
      </c>
      <c r="H1852" s="3">
        <v>0</v>
      </c>
      <c r="I1852" s="46">
        <v>0</v>
      </c>
      <c r="J1852" s="55">
        <v>0</v>
      </c>
      <c r="K1852" s="1">
        <v>0</v>
      </c>
      <c r="L1852" s="51">
        <v>0</v>
      </c>
      <c r="M1852" s="52">
        <v>0</v>
      </c>
      <c r="N1852" s="2">
        <f t="shared" si="2628"/>
        <v>0</v>
      </c>
      <c r="O1852" s="2">
        <f t="shared" si="2647"/>
        <v>0</v>
      </c>
      <c r="P1852" s="13"/>
      <c r="Q1852" s="13"/>
      <c r="R1852" s="13"/>
      <c r="S1852" s="13"/>
      <c r="T1852" s="13"/>
      <c r="U1852" s="13"/>
      <c r="V1852" s="13"/>
      <c r="W1852" s="13"/>
      <c r="X1852" s="13"/>
      <c r="Y1852" s="13"/>
      <c r="Z1852" s="13"/>
      <c r="AA1852" s="13"/>
      <c r="AB1852" s="13"/>
      <c r="AC1852" s="13"/>
      <c r="AD1852" s="13"/>
      <c r="AE1852" s="13"/>
      <c r="AF1852" s="13"/>
      <c r="AG1852" s="13"/>
    </row>
    <row r="1853" spans="1:33" s="14" customFormat="1">
      <c r="A1853" s="10">
        <v>43286</v>
      </c>
      <c r="B1853" s="3" t="s">
        <v>269</v>
      </c>
      <c r="C1853" s="15" t="s">
        <v>47</v>
      </c>
      <c r="D1853" s="15">
        <v>80</v>
      </c>
      <c r="E1853" s="11">
        <v>12000</v>
      </c>
      <c r="F1853" s="3" t="s">
        <v>8</v>
      </c>
      <c r="G1853" s="46">
        <v>3.1</v>
      </c>
      <c r="H1853" s="3">
        <v>0</v>
      </c>
      <c r="I1853" s="46">
        <v>0</v>
      </c>
      <c r="J1853" s="55">
        <v>0</v>
      </c>
      <c r="K1853" s="1">
        <v>0</v>
      </c>
      <c r="L1853" s="51">
        <v>0</v>
      </c>
      <c r="M1853" s="52">
        <v>0</v>
      </c>
      <c r="N1853" s="2">
        <f t="shared" si="2628"/>
        <v>0</v>
      </c>
      <c r="O1853" s="2">
        <f t="shared" si="2647"/>
        <v>0</v>
      </c>
      <c r="P1853" s="13"/>
      <c r="Q1853" s="13"/>
      <c r="R1853" s="13"/>
      <c r="S1853" s="13"/>
      <c r="T1853" s="13"/>
      <c r="U1853" s="13"/>
      <c r="V1853" s="13"/>
      <c r="W1853" s="13"/>
      <c r="X1853" s="13"/>
      <c r="Y1853" s="13"/>
      <c r="Z1853" s="13"/>
      <c r="AA1853" s="13"/>
      <c r="AB1853" s="13"/>
      <c r="AC1853" s="13"/>
      <c r="AD1853" s="13"/>
      <c r="AE1853" s="13"/>
      <c r="AF1853" s="13"/>
      <c r="AG1853" s="13"/>
    </row>
    <row r="1854" spans="1:33" s="14" customFormat="1">
      <c r="A1854" s="10">
        <v>43285</v>
      </c>
      <c r="B1854" s="3" t="s">
        <v>253</v>
      </c>
      <c r="C1854" s="15" t="s">
        <v>47</v>
      </c>
      <c r="D1854" s="15">
        <v>1040</v>
      </c>
      <c r="E1854" s="11">
        <v>1200</v>
      </c>
      <c r="F1854" s="3" t="s">
        <v>8</v>
      </c>
      <c r="G1854" s="46">
        <v>28.5</v>
      </c>
      <c r="H1854" s="3">
        <v>30</v>
      </c>
      <c r="I1854" s="46">
        <v>0</v>
      </c>
      <c r="J1854" s="55">
        <v>0</v>
      </c>
      <c r="K1854" s="1">
        <f t="shared" ref="K1854" si="2677">(IF(F1854="SELL",G1854-H1854,IF(F1854="BUY",H1854-G1854)))*E1854</f>
        <v>1800</v>
      </c>
      <c r="L1854" s="51">
        <v>0</v>
      </c>
      <c r="M1854" s="52">
        <v>0</v>
      </c>
      <c r="N1854" s="2">
        <f t="shared" si="2628"/>
        <v>1.5</v>
      </c>
      <c r="O1854" s="2">
        <f t="shared" si="2647"/>
        <v>1800</v>
      </c>
      <c r="P1854" s="13"/>
      <c r="Q1854" s="13"/>
      <c r="R1854" s="13"/>
      <c r="S1854" s="13"/>
      <c r="T1854" s="13"/>
      <c r="U1854" s="13"/>
      <c r="V1854" s="13"/>
      <c r="W1854" s="13"/>
      <c r="X1854" s="13"/>
      <c r="Y1854" s="13"/>
      <c r="Z1854" s="13"/>
      <c r="AA1854" s="13"/>
      <c r="AB1854" s="13"/>
      <c r="AC1854" s="13"/>
      <c r="AD1854" s="13"/>
      <c r="AE1854" s="13"/>
      <c r="AF1854" s="13"/>
      <c r="AG1854" s="13"/>
    </row>
    <row r="1855" spans="1:33" s="14" customFormat="1">
      <c r="A1855" s="10">
        <v>43285</v>
      </c>
      <c r="B1855" s="3" t="s">
        <v>333</v>
      </c>
      <c r="C1855" s="15" t="s">
        <v>47</v>
      </c>
      <c r="D1855" s="15">
        <v>600</v>
      </c>
      <c r="E1855" s="11">
        <v>1100</v>
      </c>
      <c r="F1855" s="3" t="s">
        <v>8</v>
      </c>
      <c r="G1855" s="46">
        <v>11.7</v>
      </c>
      <c r="H1855" s="3">
        <v>13</v>
      </c>
      <c r="I1855" s="46">
        <v>0</v>
      </c>
      <c r="J1855" s="55">
        <v>0</v>
      </c>
      <c r="K1855" s="1">
        <f t="shared" ref="K1855" si="2678">(IF(F1855="SELL",G1855-H1855,IF(F1855="BUY",H1855-G1855)))*E1855</f>
        <v>1430.0000000000007</v>
      </c>
      <c r="L1855" s="51">
        <v>0</v>
      </c>
      <c r="M1855" s="52">
        <v>0</v>
      </c>
      <c r="N1855" s="2">
        <f t="shared" si="2628"/>
        <v>1.3000000000000007</v>
      </c>
      <c r="O1855" s="2">
        <f t="shared" si="2647"/>
        <v>1430.0000000000007</v>
      </c>
      <c r="P1855" s="13"/>
      <c r="Q1855" s="13"/>
      <c r="R1855" s="13"/>
      <c r="S1855" s="13"/>
      <c r="T1855" s="13"/>
      <c r="U1855" s="13"/>
      <c r="V1855" s="13"/>
      <c r="W1855" s="13"/>
      <c r="X1855" s="13"/>
      <c r="Y1855" s="13"/>
      <c r="Z1855" s="13"/>
      <c r="AA1855" s="13"/>
      <c r="AB1855" s="13"/>
      <c r="AC1855" s="13"/>
      <c r="AD1855" s="13"/>
      <c r="AE1855" s="13"/>
      <c r="AF1855" s="13"/>
      <c r="AG1855" s="13"/>
    </row>
    <row r="1856" spans="1:33" s="14" customFormat="1">
      <c r="A1856" s="10">
        <v>43285</v>
      </c>
      <c r="B1856" s="3" t="s">
        <v>253</v>
      </c>
      <c r="C1856" s="15" t="s">
        <v>47</v>
      </c>
      <c r="D1856" s="15">
        <v>1040</v>
      </c>
      <c r="E1856" s="11">
        <v>1200</v>
      </c>
      <c r="F1856" s="3" t="s">
        <v>8</v>
      </c>
      <c r="G1856" s="46">
        <v>27.4</v>
      </c>
      <c r="H1856" s="3">
        <v>29</v>
      </c>
      <c r="I1856" s="46">
        <v>0</v>
      </c>
      <c r="J1856" s="55">
        <v>0</v>
      </c>
      <c r="K1856" s="1">
        <f t="shared" ref="K1856" si="2679">(IF(F1856="SELL",G1856-H1856,IF(F1856="BUY",H1856-G1856)))*E1856</f>
        <v>1920.0000000000018</v>
      </c>
      <c r="L1856" s="51">
        <v>0</v>
      </c>
      <c r="M1856" s="52">
        <v>0</v>
      </c>
      <c r="N1856" s="2">
        <f t="shared" si="2628"/>
        <v>1.6000000000000014</v>
      </c>
      <c r="O1856" s="2">
        <f t="shared" si="2647"/>
        <v>1920.0000000000018</v>
      </c>
      <c r="P1856" s="13"/>
      <c r="Q1856" s="13"/>
      <c r="R1856" s="13"/>
      <c r="S1856" s="13"/>
      <c r="T1856" s="13"/>
      <c r="U1856" s="13"/>
      <c r="V1856" s="13"/>
      <c r="W1856" s="13"/>
      <c r="X1856" s="13"/>
      <c r="Y1856" s="13"/>
      <c r="Z1856" s="13"/>
      <c r="AA1856" s="13"/>
      <c r="AB1856" s="13"/>
      <c r="AC1856" s="13"/>
      <c r="AD1856" s="13"/>
      <c r="AE1856" s="13"/>
      <c r="AF1856" s="13"/>
      <c r="AG1856" s="13"/>
    </row>
    <row r="1857" spans="1:33" s="14" customFormat="1">
      <c r="A1857" s="10">
        <v>43284</v>
      </c>
      <c r="B1857" s="3" t="s">
        <v>253</v>
      </c>
      <c r="C1857" s="15" t="s">
        <v>47</v>
      </c>
      <c r="D1857" s="15">
        <v>1020</v>
      </c>
      <c r="E1857" s="11">
        <v>1200</v>
      </c>
      <c r="F1857" s="3" t="s">
        <v>8</v>
      </c>
      <c r="G1857" s="46">
        <v>27.5</v>
      </c>
      <c r="H1857" s="3">
        <v>29</v>
      </c>
      <c r="I1857" s="46">
        <v>32</v>
      </c>
      <c r="J1857" s="55">
        <v>35</v>
      </c>
      <c r="K1857" s="1">
        <f t="shared" ref="K1857" si="2680">(IF(F1857="SELL",G1857-H1857,IF(F1857="BUY",H1857-G1857)))*E1857</f>
        <v>1800</v>
      </c>
      <c r="L1857" s="51">
        <f t="shared" ref="L1857" si="2681">(IF(F1857="SELL",IF(I1857="",0,H1857-I1857),IF(F1857="BUY",IF(I1857="",0,I1857-H1857))))*E1857</f>
        <v>3600</v>
      </c>
      <c r="M1857" s="52">
        <v>3600</v>
      </c>
      <c r="N1857" s="2">
        <f t="shared" si="2628"/>
        <v>7.5</v>
      </c>
      <c r="O1857" s="2">
        <f t="shared" si="2647"/>
        <v>9000</v>
      </c>
      <c r="P1857" s="13"/>
      <c r="Q1857" s="13"/>
      <c r="R1857" s="13"/>
      <c r="S1857" s="13"/>
      <c r="T1857" s="13"/>
      <c r="U1857" s="13"/>
      <c r="V1857" s="13"/>
      <c r="W1857" s="13"/>
      <c r="X1857" s="13"/>
      <c r="Y1857" s="13"/>
      <c r="Z1857" s="13"/>
      <c r="AA1857" s="13"/>
      <c r="AB1857" s="13"/>
      <c r="AC1857" s="13"/>
      <c r="AD1857" s="13"/>
      <c r="AE1857" s="13"/>
      <c r="AF1857" s="13"/>
      <c r="AG1857" s="13"/>
    </row>
    <row r="1858" spans="1:33" s="14" customFormat="1">
      <c r="A1858" s="10">
        <v>43284</v>
      </c>
      <c r="B1858" s="3" t="s">
        <v>264</v>
      </c>
      <c r="C1858" s="15" t="s">
        <v>47</v>
      </c>
      <c r="D1858" s="15">
        <v>280</v>
      </c>
      <c r="E1858" s="11">
        <v>4500</v>
      </c>
      <c r="F1858" s="3" t="s">
        <v>8</v>
      </c>
      <c r="G1858" s="46">
        <v>8.8000000000000007</v>
      </c>
      <c r="H1858" s="3">
        <v>9.1999999999999993</v>
      </c>
      <c r="I1858" s="46">
        <v>9.6999999999999993</v>
      </c>
      <c r="J1858" s="55">
        <v>0</v>
      </c>
      <c r="K1858" s="1">
        <f t="shared" ref="K1858:K1859" si="2682">(IF(F1858="SELL",G1858-H1858,IF(F1858="BUY",H1858-G1858)))*E1858</f>
        <v>1799.9999999999936</v>
      </c>
      <c r="L1858" s="51">
        <f t="shared" ref="L1858" si="2683">(IF(F1858="SELL",IF(I1858="",0,H1858-I1858),IF(F1858="BUY",IF(I1858="",0,I1858-H1858))))*E1858</f>
        <v>2250</v>
      </c>
      <c r="M1858" s="52">
        <v>0</v>
      </c>
      <c r="N1858" s="2">
        <f t="shared" si="2628"/>
        <v>0.89999999999999858</v>
      </c>
      <c r="O1858" s="2">
        <f t="shared" si="2647"/>
        <v>4049.9999999999936</v>
      </c>
      <c r="P1858" s="13"/>
      <c r="Q1858" s="13"/>
      <c r="R1858" s="13"/>
      <c r="S1858" s="13"/>
      <c r="T1858" s="13"/>
      <c r="U1858" s="13"/>
      <c r="V1858" s="13"/>
      <c r="W1858" s="13"/>
      <c r="X1858" s="13"/>
      <c r="Y1858" s="13"/>
      <c r="Z1858" s="13"/>
      <c r="AA1858" s="13"/>
      <c r="AB1858" s="13"/>
      <c r="AC1858" s="13"/>
      <c r="AD1858" s="13"/>
      <c r="AE1858" s="13"/>
      <c r="AF1858" s="13"/>
      <c r="AG1858" s="13"/>
    </row>
    <row r="1859" spans="1:33" s="14" customFormat="1">
      <c r="A1859" s="10">
        <v>43284</v>
      </c>
      <c r="B1859" s="3" t="s">
        <v>213</v>
      </c>
      <c r="C1859" s="15" t="s">
        <v>47</v>
      </c>
      <c r="D1859" s="15">
        <v>400</v>
      </c>
      <c r="E1859" s="11">
        <v>2000</v>
      </c>
      <c r="F1859" s="3" t="s">
        <v>8</v>
      </c>
      <c r="G1859" s="46">
        <v>9</v>
      </c>
      <c r="H1859" s="3">
        <v>9.6999999999999993</v>
      </c>
      <c r="I1859" s="46">
        <v>0</v>
      </c>
      <c r="J1859" s="55">
        <v>0</v>
      </c>
      <c r="K1859" s="1">
        <f t="shared" si="2682"/>
        <v>1399.9999999999986</v>
      </c>
      <c r="L1859" s="51">
        <v>0</v>
      </c>
      <c r="M1859" s="52">
        <v>0</v>
      </c>
      <c r="N1859" s="2">
        <f t="shared" si="2628"/>
        <v>0.69999999999999929</v>
      </c>
      <c r="O1859" s="2">
        <f t="shared" si="2647"/>
        <v>1399.9999999999986</v>
      </c>
      <c r="P1859" s="13"/>
      <c r="Q1859" s="13"/>
      <c r="R1859" s="13"/>
      <c r="S1859" s="13"/>
      <c r="T1859" s="13"/>
      <c r="U1859" s="13"/>
      <c r="V1859" s="13"/>
      <c r="W1859" s="13"/>
      <c r="X1859" s="13"/>
      <c r="Y1859" s="13"/>
      <c r="Z1859" s="13"/>
      <c r="AA1859" s="13"/>
      <c r="AB1859" s="13"/>
      <c r="AC1859" s="13"/>
      <c r="AD1859" s="13"/>
      <c r="AE1859" s="13"/>
      <c r="AF1859" s="13"/>
      <c r="AG1859" s="13"/>
    </row>
    <row r="1860" spans="1:33" s="14" customFormat="1">
      <c r="A1860" s="10">
        <v>43284</v>
      </c>
      <c r="B1860" s="3" t="s">
        <v>146</v>
      </c>
      <c r="C1860" s="15" t="s">
        <v>47</v>
      </c>
      <c r="D1860" s="15">
        <v>370</v>
      </c>
      <c r="E1860" s="11">
        <v>2500</v>
      </c>
      <c r="F1860" s="3" t="s">
        <v>8</v>
      </c>
      <c r="G1860" s="46">
        <v>9.25</v>
      </c>
      <c r="H1860" s="3">
        <v>10</v>
      </c>
      <c r="I1860" s="46">
        <v>0</v>
      </c>
      <c r="J1860" s="55">
        <v>0</v>
      </c>
      <c r="K1860" s="1">
        <f t="shared" ref="K1860" si="2684">(IF(F1860="SELL",G1860-H1860,IF(F1860="BUY",H1860-G1860)))*E1860</f>
        <v>1875</v>
      </c>
      <c r="L1860" s="51">
        <v>0</v>
      </c>
      <c r="M1860" s="52">
        <v>0</v>
      </c>
      <c r="N1860" s="2">
        <f t="shared" si="2628"/>
        <v>0.75</v>
      </c>
      <c r="O1860" s="2">
        <f t="shared" si="2647"/>
        <v>1875</v>
      </c>
      <c r="P1860" s="13"/>
      <c r="Q1860" s="13"/>
      <c r="R1860" s="13"/>
      <c r="S1860" s="13"/>
      <c r="T1860" s="13"/>
      <c r="U1860" s="13"/>
      <c r="V1860" s="13"/>
      <c r="W1860" s="13"/>
      <c r="X1860" s="13"/>
      <c r="Y1860" s="13"/>
      <c r="Z1860" s="13"/>
      <c r="AA1860" s="13"/>
      <c r="AB1860" s="13"/>
      <c r="AC1860" s="13"/>
      <c r="AD1860" s="13"/>
      <c r="AE1860" s="13"/>
      <c r="AF1860" s="13"/>
      <c r="AG1860" s="13"/>
    </row>
    <row r="1861" spans="1:33" s="14" customFormat="1">
      <c r="A1861" s="10">
        <v>43283</v>
      </c>
      <c r="B1861" s="3" t="s">
        <v>213</v>
      </c>
      <c r="C1861" s="15" t="s">
        <v>47</v>
      </c>
      <c r="D1861" s="15">
        <v>400</v>
      </c>
      <c r="E1861" s="11">
        <v>2000</v>
      </c>
      <c r="F1861" s="3" t="s">
        <v>8</v>
      </c>
      <c r="G1861" s="46">
        <v>9.65</v>
      </c>
      <c r="H1861" s="3">
        <v>0</v>
      </c>
      <c r="I1861" s="46">
        <v>0</v>
      </c>
      <c r="J1861" s="55">
        <v>0</v>
      </c>
      <c r="K1861" s="1">
        <v>0</v>
      </c>
      <c r="L1861" s="51">
        <v>0</v>
      </c>
      <c r="M1861" s="52">
        <v>0</v>
      </c>
      <c r="N1861" s="2">
        <f t="shared" si="2628"/>
        <v>0</v>
      </c>
      <c r="O1861" s="2">
        <f t="shared" si="2647"/>
        <v>0</v>
      </c>
      <c r="P1861" s="13"/>
      <c r="Q1861" s="13"/>
      <c r="R1861" s="13"/>
      <c r="S1861" s="13"/>
      <c r="T1861" s="13"/>
      <c r="U1861" s="13"/>
      <c r="V1861" s="13"/>
      <c r="W1861" s="13"/>
      <c r="X1861" s="13"/>
      <c r="Y1861" s="13"/>
      <c r="Z1861" s="13"/>
      <c r="AA1861" s="13"/>
      <c r="AB1861" s="13"/>
      <c r="AC1861" s="13"/>
      <c r="AD1861" s="13"/>
      <c r="AE1861" s="13"/>
      <c r="AF1861" s="13"/>
      <c r="AG1861" s="13"/>
    </row>
    <row r="1862" spans="1:33" s="14" customFormat="1">
      <c r="A1862" s="10">
        <v>43283</v>
      </c>
      <c r="B1862" s="3" t="s">
        <v>142</v>
      </c>
      <c r="C1862" s="15" t="s">
        <v>47</v>
      </c>
      <c r="D1862" s="15">
        <v>1260</v>
      </c>
      <c r="E1862" s="11">
        <v>750</v>
      </c>
      <c r="F1862" s="3" t="s">
        <v>8</v>
      </c>
      <c r="G1862" s="46">
        <v>27</v>
      </c>
      <c r="H1862" s="3">
        <v>30</v>
      </c>
      <c r="I1862" s="46">
        <v>0</v>
      </c>
      <c r="J1862" s="55">
        <v>0</v>
      </c>
      <c r="K1862" s="1">
        <f t="shared" ref="K1862" si="2685">(IF(F1862="SELL",G1862-H1862,IF(F1862="BUY",H1862-G1862)))*E1862</f>
        <v>2250</v>
      </c>
      <c r="L1862" s="51">
        <v>0</v>
      </c>
      <c r="M1862" s="52">
        <v>0</v>
      </c>
      <c r="N1862" s="2">
        <f t="shared" si="2628"/>
        <v>3</v>
      </c>
      <c r="O1862" s="2">
        <f t="shared" si="2647"/>
        <v>2250</v>
      </c>
      <c r="P1862" s="13"/>
      <c r="Q1862" s="13"/>
      <c r="R1862" s="13"/>
      <c r="S1862" s="13"/>
      <c r="T1862" s="13"/>
      <c r="U1862" s="13"/>
      <c r="V1862" s="13"/>
      <c r="W1862" s="13"/>
      <c r="X1862" s="13"/>
      <c r="Y1862" s="13"/>
      <c r="Z1862" s="13"/>
      <c r="AA1862" s="13"/>
      <c r="AB1862" s="13"/>
      <c r="AC1862" s="13"/>
      <c r="AD1862" s="13"/>
      <c r="AE1862" s="13"/>
      <c r="AF1862" s="13"/>
      <c r="AG1862" s="13"/>
    </row>
    <row r="1863" spans="1:33" s="14" customFormat="1">
      <c r="A1863" s="10">
        <v>43280</v>
      </c>
      <c r="B1863" s="3" t="s">
        <v>327</v>
      </c>
      <c r="C1863" s="15" t="s">
        <v>47</v>
      </c>
      <c r="D1863" s="15">
        <v>560</v>
      </c>
      <c r="E1863" s="11">
        <v>1500</v>
      </c>
      <c r="F1863" s="3" t="s">
        <v>8</v>
      </c>
      <c r="G1863" s="46">
        <v>19.600000000000001</v>
      </c>
      <c r="H1863" s="3">
        <v>20.6</v>
      </c>
      <c r="I1863" s="46">
        <v>22</v>
      </c>
      <c r="J1863" s="55">
        <v>0</v>
      </c>
      <c r="K1863" s="1">
        <f t="shared" ref="K1863" si="2686">(IF(F1863="SELL",G1863-H1863,IF(F1863="BUY",H1863-G1863)))*E1863</f>
        <v>1500</v>
      </c>
      <c r="L1863" s="51">
        <f t="shared" ref="L1863" si="2687">(IF(F1863="SELL",IF(I1863="",0,H1863-I1863),IF(F1863="BUY",IF(I1863="",0,I1863-H1863))))*E1863</f>
        <v>2099.9999999999977</v>
      </c>
      <c r="M1863" s="52">
        <v>3000</v>
      </c>
      <c r="N1863" s="2">
        <f t="shared" si="2628"/>
        <v>4.3999999999999986</v>
      </c>
      <c r="O1863" s="2">
        <f t="shared" si="2647"/>
        <v>6599.9999999999982</v>
      </c>
      <c r="P1863" s="13"/>
      <c r="Q1863" s="13"/>
      <c r="R1863" s="13"/>
      <c r="S1863" s="13"/>
      <c r="T1863" s="13"/>
      <c r="U1863" s="13"/>
      <c r="V1863" s="13"/>
      <c r="W1863" s="13"/>
      <c r="X1863" s="13"/>
      <c r="Y1863" s="13"/>
      <c r="Z1863" s="13"/>
      <c r="AA1863" s="13"/>
      <c r="AB1863" s="13"/>
      <c r="AC1863" s="13"/>
      <c r="AD1863" s="13"/>
      <c r="AE1863" s="13"/>
      <c r="AF1863" s="13"/>
      <c r="AG1863" s="13"/>
    </row>
    <row r="1864" spans="1:33" s="14" customFormat="1">
      <c r="A1864" s="10">
        <v>43280</v>
      </c>
      <c r="B1864" s="3" t="s">
        <v>269</v>
      </c>
      <c r="C1864" s="15" t="s">
        <v>47</v>
      </c>
      <c r="D1864" s="15">
        <v>85</v>
      </c>
      <c r="E1864" s="11">
        <v>12000</v>
      </c>
      <c r="F1864" s="3" t="s">
        <v>8</v>
      </c>
      <c r="G1864" s="46">
        <v>3.2</v>
      </c>
      <c r="H1864" s="3">
        <v>3.5</v>
      </c>
      <c r="I1864" s="46">
        <v>0</v>
      </c>
      <c r="J1864" s="55">
        <v>0</v>
      </c>
      <c r="K1864" s="1">
        <f t="shared" ref="K1864" si="2688">(IF(F1864="SELL",G1864-H1864,IF(F1864="BUY",H1864-G1864)))*E1864</f>
        <v>3599.9999999999977</v>
      </c>
      <c r="L1864" s="51">
        <v>0</v>
      </c>
      <c r="M1864" s="52">
        <v>0</v>
      </c>
      <c r="N1864" s="2">
        <f t="shared" si="2628"/>
        <v>0.29999999999999982</v>
      </c>
      <c r="O1864" s="2">
        <f t="shared" si="2647"/>
        <v>3599.9999999999977</v>
      </c>
      <c r="P1864" s="13"/>
      <c r="Q1864" s="13"/>
      <c r="R1864" s="13"/>
      <c r="S1864" s="13"/>
      <c r="T1864" s="13"/>
      <c r="U1864" s="13"/>
      <c r="V1864" s="13"/>
      <c r="W1864" s="13"/>
      <c r="X1864" s="13"/>
      <c r="Y1864" s="13"/>
      <c r="Z1864" s="13"/>
      <c r="AA1864" s="13"/>
      <c r="AB1864" s="13"/>
      <c r="AC1864" s="13"/>
      <c r="AD1864" s="13"/>
      <c r="AE1864" s="13"/>
      <c r="AF1864" s="13"/>
      <c r="AG1864" s="13"/>
    </row>
    <row r="1865" spans="1:33" s="14" customFormat="1">
      <c r="A1865" s="10">
        <v>43279</v>
      </c>
      <c r="B1865" s="3" t="s">
        <v>332</v>
      </c>
      <c r="C1865" s="15" t="s">
        <v>47</v>
      </c>
      <c r="D1865" s="15">
        <v>690</v>
      </c>
      <c r="E1865" s="11">
        <v>1200</v>
      </c>
      <c r="F1865" s="3" t="s">
        <v>8</v>
      </c>
      <c r="G1865" s="46">
        <v>3.25</v>
      </c>
      <c r="H1865" s="3">
        <v>1</v>
      </c>
      <c r="I1865" s="46">
        <v>0</v>
      </c>
      <c r="J1865" s="55">
        <v>0</v>
      </c>
      <c r="K1865" s="1">
        <f t="shared" ref="K1865" si="2689">(IF(F1865="SELL",G1865-H1865,IF(F1865="BUY",H1865-G1865)))*E1865</f>
        <v>-2700</v>
      </c>
      <c r="L1865" s="51">
        <v>0</v>
      </c>
      <c r="M1865" s="52">
        <v>0</v>
      </c>
      <c r="N1865" s="2">
        <f t="shared" si="2628"/>
        <v>-2.25</v>
      </c>
      <c r="O1865" s="2">
        <f t="shared" si="2647"/>
        <v>-2700</v>
      </c>
      <c r="P1865" s="13"/>
      <c r="Q1865" s="13"/>
      <c r="R1865" s="13"/>
      <c r="S1865" s="13"/>
      <c r="T1865" s="13"/>
      <c r="U1865" s="13"/>
      <c r="V1865" s="13"/>
      <c r="W1865" s="13"/>
      <c r="X1865" s="13"/>
      <c r="Y1865" s="13"/>
      <c r="Z1865" s="13"/>
      <c r="AA1865" s="13"/>
      <c r="AB1865" s="13"/>
      <c r="AC1865" s="13"/>
      <c r="AD1865" s="13"/>
      <c r="AE1865" s="13"/>
      <c r="AF1865" s="13"/>
      <c r="AG1865" s="13"/>
    </row>
    <row r="1866" spans="1:33" s="14" customFormat="1">
      <c r="A1866" s="10">
        <v>43279</v>
      </c>
      <c r="B1866" s="3" t="s">
        <v>149</v>
      </c>
      <c r="C1866" s="15" t="s">
        <v>47</v>
      </c>
      <c r="D1866" s="15">
        <v>205</v>
      </c>
      <c r="E1866" s="11">
        <v>2500</v>
      </c>
      <c r="F1866" s="3" t="s">
        <v>8</v>
      </c>
      <c r="G1866" s="46">
        <v>1.2</v>
      </c>
      <c r="H1866" s="3">
        <v>0.3</v>
      </c>
      <c r="I1866" s="46">
        <v>0</v>
      </c>
      <c r="J1866" s="55">
        <v>0</v>
      </c>
      <c r="K1866" s="1">
        <f t="shared" ref="K1866" si="2690">(IF(F1866="SELL",G1866-H1866,IF(F1866="BUY",H1866-G1866)))*E1866</f>
        <v>-2250</v>
      </c>
      <c r="L1866" s="51">
        <v>0</v>
      </c>
      <c r="M1866" s="52">
        <v>0</v>
      </c>
      <c r="N1866" s="2">
        <f t="shared" si="2628"/>
        <v>-0.9</v>
      </c>
      <c r="O1866" s="2">
        <f t="shared" si="2647"/>
        <v>-2250</v>
      </c>
      <c r="P1866" s="13"/>
      <c r="Q1866" s="13"/>
      <c r="R1866" s="13"/>
      <c r="S1866" s="13"/>
      <c r="T1866" s="13"/>
      <c r="U1866" s="13"/>
      <c r="V1866" s="13"/>
      <c r="W1866" s="13"/>
      <c r="X1866" s="13"/>
      <c r="Y1866" s="13"/>
      <c r="Z1866" s="13"/>
      <c r="AA1866" s="13"/>
      <c r="AB1866" s="13"/>
      <c r="AC1866" s="13"/>
      <c r="AD1866" s="13"/>
      <c r="AE1866" s="13"/>
      <c r="AF1866" s="13"/>
      <c r="AG1866" s="13"/>
    </row>
    <row r="1867" spans="1:33" s="14" customFormat="1">
      <c r="A1867" s="10">
        <v>43279</v>
      </c>
      <c r="B1867" s="3" t="s">
        <v>232</v>
      </c>
      <c r="C1867" s="15" t="s">
        <v>47</v>
      </c>
      <c r="D1867" s="15">
        <v>400</v>
      </c>
      <c r="E1867" s="11">
        <v>1300</v>
      </c>
      <c r="F1867" s="3" t="s">
        <v>8</v>
      </c>
      <c r="G1867" s="46">
        <v>1.5</v>
      </c>
      <c r="H1867" s="3">
        <v>0.3</v>
      </c>
      <c r="I1867" s="46">
        <v>0</v>
      </c>
      <c r="J1867" s="55">
        <v>0</v>
      </c>
      <c r="K1867" s="1">
        <f t="shared" ref="K1867" si="2691">(IF(F1867="SELL",G1867-H1867,IF(F1867="BUY",H1867-G1867)))*E1867</f>
        <v>-1560</v>
      </c>
      <c r="L1867" s="51">
        <v>0</v>
      </c>
      <c r="M1867" s="52">
        <v>0</v>
      </c>
      <c r="N1867" s="2">
        <f t="shared" si="2628"/>
        <v>-1.2</v>
      </c>
      <c r="O1867" s="2">
        <f t="shared" si="2647"/>
        <v>-1560</v>
      </c>
      <c r="P1867" s="13"/>
      <c r="Q1867" s="13"/>
      <c r="R1867" s="13"/>
      <c r="S1867" s="13"/>
      <c r="T1867" s="13"/>
      <c r="U1867" s="13"/>
      <c r="V1867" s="13"/>
      <c r="W1867" s="13"/>
      <c r="X1867" s="13"/>
      <c r="Y1867" s="13"/>
      <c r="Z1867" s="13"/>
      <c r="AA1867" s="13"/>
      <c r="AB1867" s="13"/>
      <c r="AC1867" s="13"/>
      <c r="AD1867" s="13"/>
      <c r="AE1867" s="13"/>
      <c r="AF1867" s="13"/>
      <c r="AG1867" s="13"/>
    </row>
    <row r="1868" spans="1:33" s="14" customFormat="1">
      <c r="A1868" s="10">
        <v>43278</v>
      </c>
      <c r="B1868" s="3" t="s">
        <v>252</v>
      </c>
      <c r="C1868" s="15" t="s">
        <v>47</v>
      </c>
      <c r="D1868" s="15">
        <v>110</v>
      </c>
      <c r="E1868" s="11">
        <v>4000</v>
      </c>
      <c r="F1868" s="3" t="s">
        <v>8</v>
      </c>
      <c r="G1868" s="46">
        <v>6.4</v>
      </c>
      <c r="H1868" s="3">
        <v>7</v>
      </c>
      <c r="I1868" s="46">
        <v>8</v>
      </c>
      <c r="J1868" s="55">
        <v>0</v>
      </c>
      <c r="K1868" s="1">
        <f t="shared" ref="K1868" si="2692">(IF(F1868="SELL",G1868-H1868,IF(F1868="BUY",H1868-G1868)))*E1868</f>
        <v>2399.9999999999986</v>
      </c>
      <c r="L1868" s="51">
        <f t="shared" ref="L1868" si="2693">(IF(F1868="SELL",IF(I1868="",0,H1868-I1868),IF(F1868="BUY",IF(I1868="",0,I1868-H1868))))*E1868</f>
        <v>4000</v>
      </c>
      <c r="M1868" s="52">
        <v>0</v>
      </c>
      <c r="N1868" s="2">
        <f t="shared" si="2628"/>
        <v>1.5999999999999996</v>
      </c>
      <c r="O1868" s="2">
        <f t="shared" si="2647"/>
        <v>6399.9999999999982</v>
      </c>
      <c r="P1868" s="13"/>
      <c r="Q1868" s="13"/>
      <c r="R1868" s="13"/>
      <c r="S1868" s="13"/>
      <c r="T1868" s="13"/>
      <c r="U1868" s="13"/>
      <c r="V1868" s="13"/>
      <c r="W1868" s="13"/>
      <c r="X1868" s="13"/>
      <c r="Y1868" s="13"/>
      <c r="Z1868" s="13"/>
      <c r="AA1868" s="13"/>
      <c r="AB1868" s="13"/>
      <c r="AC1868" s="13"/>
      <c r="AD1868" s="13"/>
      <c r="AE1868" s="13"/>
      <c r="AF1868" s="13"/>
      <c r="AG1868" s="13"/>
    </row>
    <row r="1869" spans="1:33" s="14" customFormat="1">
      <c r="A1869" s="10">
        <v>43278</v>
      </c>
      <c r="B1869" s="3" t="s">
        <v>159</v>
      </c>
      <c r="C1869" s="15" t="s">
        <v>47</v>
      </c>
      <c r="D1869" s="15">
        <v>680</v>
      </c>
      <c r="E1869" s="11">
        <v>1250</v>
      </c>
      <c r="F1869" s="3" t="s">
        <v>8</v>
      </c>
      <c r="G1869" s="46">
        <v>6.8</v>
      </c>
      <c r="H1869" s="3">
        <v>8.1999999999999993</v>
      </c>
      <c r="I1869" s="46">
        <v>0</v>
      </c>
      <c r="J1869" s="55">
        <v>0</v>
      </c>
      <c r="K1869" s="1">
        <f t="shared" ref="K1869" si="2694">(IF(F1869="SELL",G1869-H1869,IF(F1869="BUY",H1869-G1869)))*E1869</f>
        <v>1749.9999999999993</v>
      </c>
      <c r="L1869" s="51">
        <v>0</v>
      </c>
      <c r="M1869" s="52">
        <v>0</v>
      </c>
      <c r="N1869" s="2">
        <f t="shared" si="2628"/>
        <v>1.3999999999999995</v>
      </c>
      <c r="O1869" s="2">
        <f t="shared" si="2647"/>
        <v>1749.9999999999993</v>
      </c>
      <c r="P1869" s="13"/>
      <c r="Q1869" s="13"/>
      <c r="R1869" s="13"/>
      <c r="S1869" s="13"/>
      <c r="T1869" s="13"/>
      <c r="U1869" s="13"/>
      <c r="V1869" s="13"/>
      <c r="W1869" s="13"/>
      <c r="X1869" s="13"/>
      <c r="Y1869" s="13"/>
      <c r="Z1869" s="13"/>
      <c r="AA1869" s="13"/>
      <c r="AB1869" s="13"/>
      <c r="AC1869" s="13"/>
      <c r="AD1869" s="13"/>
      <c r="AE1869" s="13"/>
      <c r="AF1869" s="13"/>
      <c r="AG1869" s="13"/>
    </row>
    <row r="1870" spans="1:33" s="14" customFormat="1">
      <c r="A1870" s="10">
        <v>43278</v>
      </c>
      <c r="B1870" s="3" t="s">
        <v>323</v>
      </c>
      <c r="C1870" s="15" t="s">
        <v>47</v>
      </c>
      <c r="D1870" s="15">
        <v>390</v>
      </c>
      <c r="E1870" s="11">
        <v>1600</v>
      </c>
      <c r="F1870" s="3" t="s">
        <v>8</v>
      </c>
      <c r="G1870" s="46">
        <v>3</v>
      </c>
      <c r="H1870" s="3">
        <v>4</v>
      </c>
      <c r="I1870" s="46">
        <v>0</v>
      </c>
      <c r="J1870" s="55">
        <v>0</v>
      </c>
      <c r="K1870" s="1">
        <f t="shared" ref="K1870" si="2695">(IF(F1870="SELL",G1870-H1870,IF(F1870="BUY",H1870-G1870)))*E1870</f>
        <v>1600</v>
      </c>
      <c r="L1870" s="51">
        <v>0</v>
      </c>
      <c r="M1870" s="52">
        <v>0</v>
      </c>
      <c r="N1870" s="2">
        <f t="shared" si="2628"/>
        <v>1</v>
      </c>
      <c r="O1870" s="2">
        <f t="shared" si="2647"/>
        <v>1600</v>
      </c>
      <c r="P1870" s="13"/>
      <c r="Q1870" s="13"/>
      <c r="R1870" s="13"/>
      <c r="S1870" s="13"/>
      <c r="T1870" s="13"/>
      <c r="U1870" s="13"/>
      <c r="V1870" s="13"/>
      <c r="W1870" s="13"/>
      <c r="X1870" s="13"/>
      <c r="Y1870" s="13"/>
      <c r="Z1870" s="13"/>
      <c r="AA1870" s="13"/>
      <c r="AB1870" s="13"/>
      <c r="AC1870" s="13"/>
      <c r="AD1870" s="13"/>
      <c r="AE1870" s="13"/>
      <c r="AF1870" s="13"/>
      <c r="AG1870" s="13"/>
    </row>
    <row r="1871" spans="1:33" s="14" customFormat="1">
      <c r="A1871" s="10">
        <v>43278</v>
      </c>
      <c r="B1871" s="3" t="s">
        <v>196</v>
      </c>
      <c r="C1871" s="15" t="s">
        <v>47</v>
      </c>
      <c r="D1871" s="15">
        <v>700</v>
      </c>
      <c r="E1871" s="11">
        <v>1200</v>
      </c>
      <c r="F1871" s="3" t="s">
        <v>8</v>
      </c>
      <c r="G1871" s="46">
        <v>7.5</v>
      </c>
      <c r="H1871" s="3">
        <v>8.5</v>
      </c>
      <c r="I1871" s="46">
        <v>10.5</v>
      </c>
      <c r="J1871" s="55">
        <v>12</v>
      </c>
      <c r="K1871" s="1">
        <f t="shared" ref="K1871" si="2696">(IF(F1871="SELL",G1871-H1871,IF(F1871="BUY",H1871-G1871)))*E1871</f>
        <v>1200</v>
      </c>
      <c r="L1871" s="51">
        <f t="shared" ref="L1871" si="2697">(IF(F1871="SELL",IF(I1871="",0,H1871-I1871),IF(F1871="BUY",IF(I1871="",0,I1871-H1871))))*E1871</f>
        <v>2400</v>
      </c>
      <c r="M1871" s="52">
        <v>1800</v>
      </c>
      <c r="N1871" s="2">
        <f t="shared" si="2628"/>
        <v>4.5</v>
      </c>
      <c r="O1871" s="2">
        <f t="shared" si="2647"/>
        <v>5400</v>
      </c>
      <c r="P1871" s="13"/>
      <c r="Q1871" s="13"/>
      <c r="R1871" s="13"/>
      <c r="S1871" s="13"/>
      <c r="T1871" s="13"/>
      <c r="U1871" s="13"/>
      <c r="V1871" s="13"/>
      <c r="W1871" s="13"/>
      <c r="X1871" s="13"/>
      <c r="Y1871" s="13"/>
      <c r="Z1871" s="13"/>
      <c r="AA1871" s="13"/>
      <c r="AB1871" s="13"/>
      <c r="AC1871" s="13"/>
      <c r="AD1871" s="13"/>
      <c r="AE1871" s="13"/>
      <c r="AF1871" s="13"/>
      <c r="AG1871" s="13"/>
    </row>
    <row r="1872" spans="1:33" s="14" customFormat="1">
      <c r="A1872" s="10">
        <v>43278</v>
      </c>
      <c r="B1872" s="3" t="s">
        <v>264</v>
      </c>
      <c r="C1872" s="15" t="s">
        <v>47</v>
      </c>
      <c r="D1872" s="15">
        <v>270</v>
      </c>
      <c r="E1872" s="11">
        <v>4500</v>
      </c>
      <c r="F1872" s="3" t="s">
        <v>8</v>
      </c>
      <c r="G1872" s="46">
        <v>6.5</v>
      </c>
      <c r="H1872" s="3">
        <v>5</v>
      </c>
      <c r="I1872" s="46">
        <v>0</v>
      </c>
      <c r="J1872" s="55">
        <v>0</v>
      </c>
      <c r="K1872" s="1">
        <f t="shared" ref="K1872" si="2698">(IF(F1872="SELL",G1872-H1872,IF(F1872="BUY",H1872-G1872)))*E1872</f>
        <v>-6750</v>
      </c>
      <c r="L1872" s="51">
        <v>0</v>
      </c>
      <c r="M1872" s="52">
        <v>0</v>
      </c>
      <c r="N1872" s="2">
        <f t="shared" si="2628"/>
        <v>-1.5</v>
      </c>
      <c r="O1872" s="2">
        <f t="shared" si="2647"/>
        <v>-6750</v>
      </c>
      <c r="P1872" s="13"/>
      <c r="Q1872" s="13"/>
      <c r="R1872" s="13"/>
      <c r="S1872" s="13"/>
      <c r="T1872" s="13"/>
      <c r="U1872" s="13"/>
      <c r="V1872" s="13"/>
      <c r="W1872" s="13"/>
      <c r="X1872" s="13"/>
      <c r="Y1872" s="13"/>
      <c r="Z1872" s="13"/>
      <c r="AA1872" s="13"/>
      <c r="AB1872" s="13"/>
      <c r="AC1872" s="13"/>
      <c r="AD1872" s="13"/>
      <c r="AE1872" s="13"/>
      <c r="AF1872" s="13"/>
      <c r="AG1872" s="13"/>
    </row>
    <row r="1873" spans="1:33" s="14" customFormat="1">
      <c r="A1873" s="10">
        <v>43277</v>
      </c>
      <c r="B1873" s="3" t="s">
        <v>144</v>
      </c>
      <c r="C1873" s="15" t="s">
        <v>47</v>
      </c>
      <c r="D1873" s="15">
        <v>370</v>
      </c>
      <c r="E1873" s="11">
        <v>1700</v>
      </c>
      <c r="F1873" s="3" t="s">
        <v>8</v>
      </c>
      <c r="G1873" s="46">
        <v>9.3000000000000007</v>
      </c>
      <c r="H1873" s="3">
        <v>10</v>
      </c>
      <c r="I1873" s="46">
        <v>12</v>
      </c>
      <c r="J1873" s="55">
        <v>0</v>
      </c>
      <c r="K1873" s="1">
        <f t="shared" ref="K1873" si="2699">(IF(F1873="SELL",G1873-H1873,IF(F1873="BUY",H1873-G1873)))*E1873</f>
        <v>1189.9999999999989</v>
      </c>
      <c r="L1873" s="51">
        <f t="shared" ref="L1873" si="2700">(IF(F1873="SELL",IF(I1873="",0,H1873-I1873),IF(F1873="BUY",IF(I1873="",0,I1873-H1873))))*E1873</f>
        <v>3400</v>
      </c>
      <c r="M1873" s="52">
        <v>0</v>
      </c>
      <c r="N1873" s="2">
        <f t="shared" si="2628"/>
        <v>2.6999999999999993</v>
      </c>
      <c r="O1873" s="2">
        <f t="shared" si="2647"/>
        <v>4589.9999999999991</v>
      </c>
      <c r="P1873" s="13"/>
      <c r="Q1873" s="13"/>
      <c r="R1873" s="13"/>
      <c r="S1873" s="13"/>
      <c r="T1873" s="13"/>
      <c r="U1873" s="13"/>
      <c r="V1873" s="13"/>
      <c r="W1873" s="13"/>
      <c r="X1873" s="13"/>
      <c r="Y1873" s="13"/>
      <c r="Z1873" s="13"/>
      <c r="AA1873" s="13"/>
      <c r="AB1873" s="13"/>
      <c r="AC1873" s="13"/>
      <c r="AD1873" s="13"/>
      <c r="AE1873" s="13"/>
      <c r="AF1873" s="13"/>
      <c r="AG1873" s="13"/>
    </row>
    <row r="1874" spans="1:33" s="14" customFormat="1">
      <c r="A1874" s="10">
        <v>43277</v>
      </c>
      <c r="B1874" s="3" t="s">
        <v>281</v>
      </c>
      <c r="C1874" s="15" t="s">
        <v>47</v>
      </c>
      <c r="D1874" s="15">
        <v>340</v>
      </c>
      <c r="E1874" s="11">
        <v>2000</v>
      </c>
      <c r="F1874" s="3" t="s">
        <v>8</v>
      </c>
      <c r="G1874" s="46">
        <v>9.3000000000000007</v>
      </c>
      <c r="H1874" s="3">
        <v>10</v>
      </c>
      <c r="I1874" s="46">
        <v>0</v>
      </c>
      <c r="J1874" s="55">
        <v>0</v>
      </c>
      <c r="K1874" s="1">
        <f t="shared" ref="K1874" si="2701">(IF(F1874="SELL",G1874-H1874,IF(F1874="BUY",H1874-G1874)))*E1874</f>
        <v>1399.9999999999986</v>
      </c>
      <c r="L1874" s="51">
        <v>0</v>
      </c>
      <c r="M1874" s="52">
        <v>0</v>
      </c>
      <c r="N1874" s="2">
        <f t="shared" si="2628"/>
        <v>0.69999999999999929</v>
      </c>
      <c r="O1874" s="2">
        <f t="shared" si="2647"/>
        <v>1399.9999999999986</v>
      </c>
      <c r="P1874" s="13"/>
      <c r="Q1874" s="13"/>
      <c r="R1874" s="13"/>
      <c r="S1874" s="13"/>
      <c r="T1874" s="13"/>
      <c r="U1874" s="13"/>
      <c r="V1874" s="13"/>
      <c r="W1874" s="13"/>
      <c r="X1874" s="13"/>
      <c r="Y1874" s="13"/>
      <c r="Z1874" s="13"/>
      <c r="AA1874" s="13"/>
      <c r="AB1874" s="13"/>
      <c r="AC1874" s="13"/>
      <c r="AD1874" s="13"/>
      <c r="AE1874" s="13"/>
      <c r="AF1874" s="13"/>
      <c r="AG1874" s="13"/>
    </row>
    <row r="1875" spans="1:33" s="14" customFormat="1">
      <c r="A1875" s="10">
        <v>43276</v>
      </c>
      <c r="B1875" s="3" t="s">
        <v>331</v>
      </c>
      <c r="C1875" s="15" t="s">
        <v>47</v>
      </c>
      <c r="D1875" s="15">
        <v>580</v>
      </c>
      <c r="E1875" s="11">
        <v>1000</v>
      </c>
      <c r="F1875" s="3" t="s">
        <v>8</v>
      </c>
      <c r="G1875" s="46">
        <v>13.5</v>
      </c>
      <c r="H1875" s="3">
        <v>15</v>
      </c>
      <c r="I1875" s="46">
        <v>17.5</v>
      </c>
      <c r="J1875" s="55">
        <v>20.5</v>
      </c>
      <c r="K1875" s="1">
        <f t="shared" ref="K1875" si="2702">(IF(F1875="SELL",G1875-H1875,IF(F1875="BUY",H1875-G1875)))*E1875</f>
        <v>1500</v>
      </c>
      <c r="L1875" s="51">
        <f t="shared" ref="L1875" si="2703">(IF(F1875="SELL",IF(I1875="",0,H1875-I1875),IF(F1875="BUY",IF(I1875="",0,I1875-H1875))))*E1875</f>
        <v>2500</v>
      </c>
      <c r="M1875" s="52">
        <v>3000</v>
      </c>
      <c r="N1875" s="2">
        <f t="shared" si="2628"/>
        <v>7</v>
      </c>
      <c r="O1875" s="2">
        <f t="shared" si="2647"/>
        <v>7000</v>
      </c>
      <c r="P1875" s="13"/>
      <c r="Q1875" s="13"/>
      <c r="R1875" s="13"/>
      <c r="S1875" s="13"/>
      <c r="T1875" s="13"/>
      <c r="U1875" s="13"/>
      <c r="V1875" s="13"/>
      <c r="W1875" s="13"/>
      <c r="X1875" s="13"/>
      <c r="Y1875" s="13"/>
      <c r="Z1875" s="13"/>
      <c r="AA1875" s="13"/>
      <c r="AB1875" s="13"/>
      <c r="AC1875" s="13"/>
      <c r="AD1875" s="13"/>
      <c r="AE1875" s="13"/>
      <c r="AF1875" s="13"/>
      <c r="AG1875" s="13"/>
    </row>
    <row r="1876" spans="1:33" s="14" customFormat="1">
      <c r="A1876" s="10">
        <v>43276</v>
      </c>
      <c r="B1876" s="3" t="s">
        <v>156</v>
      </c>
      <c r="C1876" s="15" t="s">
        <v>47</v>
      </c>
      <c r="D1876" s="15">
        <v>540</v>
      </c>
      <c r="E1876" s="11">
        <v>1000</v>
      </c>
      <c r="F1876" s="3" t="s">
        <v>8</v>
      </c>
      <c r="G1876" s="46">
        <v>8.5</v>
      </c>
      <c r="H1876" s="3">
        <v>10</v>
      </c>
      <c r="I1876" s="46">
        <v>0</v>
      </c>
      <c r="J1876" s="55">
        <v>0</v>
      </c>
      <c r="K1876" s="1">
        <f t="shared" ref="K1876" si="2704">(IF(F1876="SELL",G1876-H1876,IF(F1876="BUY",H1876-G1876)))*E1876</f>
        <v>1500</v>
      </c>
      <c r="L1876" s="51">
        <v>0</v>
      </c>
      <c r="M1876" s="52">
        <v>0</v>
      </c>
      <c r="N1876" s="2">
        <f t="shared" si="2628"/>
        <v>1.5</v>
      </c>
      <c r="O1876" s="2">
        <f t="shared" si="2647"/>
        <v>1500</v>
      </c>
      <c r="P1876" s="13"/>
      <c r="Q1876" s="13"/>
      <c r="R1876" s="13"/>
      <c r="S1876" s="13"/>
      <c r="T1876" s="13"/>
      <c r="U1876" s="13"/>
      <c r="V1876" s="13"/>
      <c r="W1876" s="13"/>
      <c r="X1876" s="13"/>
      <c r="Y1876" s="13"/>
      <c r="Z1876" s="13"/>
      <c r="AA1876" s="13"/>
      <c r="AB1876" s="13"/>
      <c r="AC1876" s="13"/>
      <c r="AD1876" s="13"/>
      <c r="AE1876" s="13"/>
      <c r="AF1876" s="13"/>
      <c r="AG1876" s="13"/>
    </row>
    <row r="1877" spans="1:33" s="14" customFormat="1">
      <c r="A1877" s="10">
        <v>43276</v>
      </c>
      <c r="B1877" s="3" t="s">
        <v>149</v>
      </c>
      <c r="C1877" s="15" t="s">
        <v>47</v>
      </c>
      <c r="D1877" s="15">
        <v>200</v>
      </c>
      <c r="E1877" s="11">
        <v>2500</v>
      </c>
      <c r="F1877" s="3" t="s">
        <v>8</v>
      </c>
      <c r="G1877" s="46">
        <v>8.0500000000000007</v>
      </c>
      <c r="H1877" s="3">
        <v>8.5500000000000007</v>
      </c>
      <c r="I1877" s="46">
        <v>0</v>
      </c>
      <c r="J1877" s="55">
        <v>0</v>
      </c>
      <c r="K1877" s="1">
        <f t="shared" ref="K1877" si="2705">(IF(F1877="SELL",G1877-H1877,IF(F1877="BUY",H1877-G1877)))*E1877</f>
        <v>1250</v>
      </c>
      <c r="L1877" s="51">
        <v>0</v>
      </c>
      <c r="M1877" s="52">
        <v>0</v>
      </c>
      <c r="N1877" s="2">
        <f t="shared" ref="N1877:N1940" si="2706">(L1877+K1877+M1877)/E1877</f>
        <v>0.5</v>
      </c>
      <c r="O1877" s="2">
        <f t="shared" si="2647"/>
        <v>1250</v>
      </c>
      <c r="P1877" s="13"/>
      <c r="Q1877" s="13"/>
      <c r="R1877" s="13"/>
      <c r="S1877" s="13"/>
      <c r="T1877" s="13"/>
      <c r="U1877" s="13"/>
      <c r="V1877" s="13"/>
      <c r="W1877" s="13"/>
      <c r="X1877" s="13"/>
      <c r="Y1877" s="13"/>
      <c r="Z1877" s="13"/>
      <c r="AA1877" s="13"/>
      <c r="AB1877" s="13"/>
      <c r="AC1877" s="13"/>
      <c r="AD1877" s="13"/>
      <c r="AE1877" s="13"/>
      <c r="AF1877" s="13"/>
      <c r="AG1877" s="13"/>
    </row>
    <row r="1878" spans="1:33" s="14" customFormat="1">
      <c r="A1878" s="10">
        <v>43273</v>
      </c>
      <c r="B1878" s="3" t="s">
        <v>149</v>
      </c>
      <c r="C1878" s="15" t="s">
        <v>47</v>
      </c>
      <c r="D1878" s="15">
        <v>200</v>
      </c>
      <c r="E1878" s="11">
        <v>2500</v>
      </c>
      <c r="F1878" s="3" t="s">
        <v>8</v>
      </c>
      <c r="G1878" s="46">
        <v>2.1</v>
      </c>
      <c r="H1878" s="3">
        <v>2.6</v>
      </c>
      <c r="I1878" s="46">
        <v>3.5</v>
      </c>
      <c r="J1878" s="55">
        <v>4.5</v>
      </c>
      <c r="K1878" s="1">
        <f t="shared" ref="K1878" si="2707">(IF(F1878="SELL",G1878-H1878,IF(F1878="BUY",H1878-G1878)))*E1878</f>
        <v>1250</v>
      </c>
      <c r="L1878" s="51">
        <f t="shared" ref="L1878:L1879" si="2708">(IF(F1878="SELL",IF(I1878="",0,H1878-I1878),IF(F1878="BUY",IF(I1878="",0,I1878-H1878))))*E1878</f>
        <v>2250</v>
      </c>
      <c r="M1878" s="52">
        <v>2500</v>
      </c>
      <c r="N1878" s="2">
        <f t="shared" si="2706"/>
        <v>2.4</v>
      </c>
      <c r="O1878" s="2">
        <f t="shared" si="2647"/>
        <v>6000</v>
      </c>
      <c r="P1878" s="13"/>
      <c r="Q1878" s="13"/>
      <c r="R1878" s="13"/>
      <c r="S1878" s="13"/>
      <c r="T1878" s="13"/>
      <c r="U1878" s="13"/>
      <c r="V1878" s="13"/>
      <c r="W1878" s="13"/>
      <c r="X1878" s="13"/>
      <c r="Y1878" s="13"/>
      <c r="Z1878" s="13"/>
      <c r="AA1878" s="13"/>
      <c r="AB1878" s="13"/>
      <c r="AC1878" s="13"/>
      <c r="AD1878" s="13"/>
      <c r="AE1878" s="13"/>
      <c r="AF1878" s="13"/>
      <c r="AG1878" s="13"/>
    </row>
    <row r="1879" spans="1:33" s="14" customFormat="1">
      <c r="A1879" s="10">
        <v>43273</v>
      </c>
      <c r="B1879" s="3" t="s">
        <v>330</v>
      </c>
      <c r="C1879" s="15" t="s">
        <v>47</v>
      </c>
      <c r="D1879" s="15">
        <v>2300</v>
      </c>
      <c r="E1879" s="11">
        <v>500</v>
      </c>
      <c r="F1879" s="3" t="s">
        <v>8</v>
      </c>
      <c r="G1879" s="46">
        <v>41</v>
      </c>
      <c r="H1879" s="3">
        <v>43</v>
      </c>
      <c r="I1879" s="46">
        <v>46</v>
      </c>
      <c r="J1879" s="55">
        <v>50</v>
      </c>
      <c r="K1879" s="1">
        <f t="shared" ref="K1879" si="2709">(IF(F1879="SELL",G1879-H1879,IF(F1879="BUY",H1879-G1879)))*E1879</f>
        <v>1000</v>
      </c>
      <c r="L1879" s="51">
        <f t="shared" si="2708"/>
        <v>1500</v>
      </c>
      <c r="M1879" s="52">
        <v>2000</v>
      </c>
      <c r="N1879" s="2">
        <f t="shared" si="2706"/>
        <v>9</v>
      </c>
      <c r="O1879" s="2">
        <f t="shared" si="2647"/>
        <v>4500</v>
      </c>
      <c r="P1879" s="13"/>
      <c r="Q1879" s="13"/>
      <c r="R1879" s="13"/>
      <c r="S1879" s="13"/>
      <c r="T1879" s="13"/>
      <c r="U1879" s="13"/>
      <c r="V1879" s="13"/>
      <c r="W1879" s="13"/>
      <c r="X1879" s="13"/>
      <c r="Y1879" s="13"/>
      <c r="Z1879" s="13"/>
      <c r="AA1879" s="13"/>
      <c r="AB1879" s="13"/>
      <c r="AC1879" s="13"/>
      <c r="AD1879" s="13"/>
      <c r="AE1879" s="13"/>
      <c r="AF1879" s="13"/>
      <c r="AG1879" s="13"/>
    </row>
    <row r="1880" spans="1:33" s="14" customFormat="1">
      <c r="A1880" s="10">
        <v>43273</v>
      </c>
      <c r="B1880" s="3" t="s">
        <v>141</v>
      </c>
      <c r="C1880" s="15" t="s">
        <v>47</v>
      </c>
      <c r="D1880" s="15">
        <v>340</v>
      </c>
      <c r="E1880" s="11">
        <v>3000</v>
      </c>
      <c r="F1880" s="3" t="s">
        <v>8</v>
      </c>
      <c r="G1880" s="46">
        <v>3</v>
      </c>
      <c r="H1880" s="3">
        <v>3.45</v>
      </c>
      <c r="I1880" s="46">
        <v>0</v>
      </c>
      <c r="J1880" s="55">
        <v>0</v>
      </c>
      <c r="K1880" s="1">
        <f t="shared" ref="K1880" si="2710">(IF(F1880="SELL",G1880-H1880,IF(F1880="BUY",H1880-G1880)))*E1880</f>
        <v>1350.0000000000005</v>
      </c>
      <c r="L1880" s="51">
        <v>0</v>
      </c>
      <c r="M1880" s="52">
        <v>0</v>
      </c>
      <c r="N1880" s="2">
        <f t="shared" si="2706"/>
        <v>0.45000000000000018</v>
      </c>
      <c r="O1880" s="2">
        <f t="shared" si="2647"/>
        <v>1350.0000000000005</v>
      </c>
      <c r="P1880" s="13"/>
      <c r="Q1880" s="13"/>
      <c r="R1880" s="13"/>
      <c r="S1880" s="13"/>
      <c r="T1880" s="13"/>
      <c r="U1880" s="13"/>
      <c r="V1880" s="13"/>
      <c r="W1880" s="13"/>
      <c r="X1880" s="13"/>
      <c r="Y1880" s="13"/>
      <c r="Z1880" s="13"/>
      <c r="AA1880" s="13"/>
      <c r="AB1880" s="13"/>
      <c r="AC1880" s="13"/>
      <c r="AD1880" s="13"/>
      <c r="AE1880" s="13"/>
      <c r="AF1880" s="13"/>
      <c r="AG1880" s="13"/>
    </row>
    <row r="1881" spans="1:33" s="14" customFormat="1">
      <c r="A1881" s="10">
        <v>43272</v>
      </c>
      <c r="B1881" s="3" t="s">
        <v>54</v>
      </c>
      <c r="C1881" s="15" t="s">
        <v>47</v>
      </c>
      <c r="D1881" s="15">
        <v>860</v>
      </c>
      <c r="E1881" s="11">
        <v>1000</v>
      </c>
      <c r="F1881" s="3" t="s">
        <v>8</v>
      </c>
      <c r="G1881" s="46">
        <v>16.5</v>
      </c>
      <c r="H1881" s="3">
        <v>13</v>
      </c>
      <c r="I1881" s="46">
        <v>0</v>
      </c>
      <c r="J1881" s="55">
        <v>0</v>
      </c>
      <c r="K1881" s="1">
        <f t="shared" ref="K1881" si="2711">(IF(F1881="SELL",G1881-H1881,IF(F1881="BUY",H1881-G1881)))*E1881</f>
        <v>-3500</v>
      </c>
      <c r="L1881" s="51">
        <v>0</v>
      </c>
      <c r="M1881" s="52">
        <v>0</v>
      </c>
      <c r="N1881" s="2">
        <f t="shared" si="2706"/>
        <v>-3.5</v>
      </c>
      <c r="O1881" s="2">
        <f t="shared" si="2647"/>
        <v>-3500</v>
      </c>
      <c r="P1881" s="13"/>
      <c r="Q1881" s="13"/>
      <c r="R1881" s="13"/>
      <c r="S1881" s="13"/>
      <c r="T1881" s="13"/>
      <c r="U1881" s="13"/>
      <c r="V1881" s="13"/>
      <c r="W1881" s="13"/>
      <c r="X1881" s="13"/>
      <c r="Y1881" s="13"/>
      <c r="Z1881" s="13"/>
      <c r="AA1881" s="13"/>
      <c r="AB1881" s="13"/>
      <c r="AC1881" s="13"/>
      <c r="AD1881" s="13"/>
      <c r="AE1881" s="13"/>
      <c r="AF1881" s="13"/>
      <c r="AG1881" s="13"/>
    </row>
    <row r="1882" spans="1:33" s="14" customFormat="1">
      <c r="A1882" s="10">
        <v>43272</v>
      </c>
      <c r="B1882" s="3" t="s">
        <v>329</v>
      </c>
      <c r="C1882" s="15" t="s">
        <v>47</v>
      </c>
      <c r="D1882" s="15">
        <v>1150</v>
      </c>
      <c r="E1882" s="11">
        <v>750</v>
      </c>
      <c r="F1882" s="3" t="s">
        <v>8</v>
      </c>
      <c r="G1882" s="46">
        <v>29</v>
      </c>
      <c r="H1882" s="3">
        <v>20</v>
      </c>
      <c r="I1882" s="46">
        <v>0</v>
      </c>
      <c r="J1882" s="55">
        <v>0</v>
      </c>
      <c r="K1882" s="1">
        <f t="shared" ref="K1882" si="2712">(IF(F1882="SELL",G1882-H1882,IF(F1882="BUY",H1882-G1882)))*E1882</f>
        <v>-6750</v>
      </c>
      <c r="L1882" s="51">
        <v>0</v>
      </c>
      <c r="M1882" s="52">
        <v>0</v>
      </c>
      <c r="N1882" s="2">
        <f t="shared" si="2706"/>
        <v>-9</v>
      </c>
      <c r="O1882" s="2">
        <f t="shared" si="2647"/>
        <v>-6750</v>
      </c>
      <c r="P1882" s="13"/>
      <c r="Q1882" s="13"/>
      <c r="R1882" s="13"/>
      <c r="S1882" s="13"/>
      <c r="T1882" s="13"/>
      <c r="U1882" s="13"/>
      <c r="V1882" s="13"/>
      <c r="W1882" s="13"/>
      <c r="X1882" s="13"/>
      <c r="Y1882" s="13"/>
      <c r="Z1882" s="13"/>
      <c r="AA1882" s="13"/>
      <c r="AB1882" s="13"/>
      <c r="AC1882" s="13"/>
      <c r="AD1882" s="13"/>
      <c r="AE1882" s="13"/>
      <c r="AF1882" s="13"/>
      <c r="AG1882" s="13"/>
    </row>
    <row r="1883" spans="1:33" s="14" customFormat="1">
      <c r="A1883" s="10">
        <v>43272</v>
      </c>
      <c r="B1883" s="3" t="s">
        <v>30</v>
      </c>
      <c r="C1883" s="15" t="s">
        <v>47</v>
      </c>
      <c r="D1883" s="15">
        <v>300</v>
      </c>
      <c r="E1883" s="11">
        <v>2750</v>
      </c>
      <c r="F1883" s="3" t="s">
        <v>8</v>
      </c>
      <c r="G1883" s="46">
        <v>4.5</v>
      </c>
      <c r="H1883" s="3">
        <v>5</v>
      </c>
      <c r="I1883" s="46">
        <v>0</v>
      </c>
      <c r="J1883" s="55">
        <v>0</v>
      </c>
      <c r="K1883" s="1">
        <f t="shared" ref="K1883" si="2713">(IF(F1883="SELL",G1883-H1883,IF(F1883="BUY",H1883-G1883)))*E1883</f>
        <v>1375</v>
      </c>
      <c r="L1883" s="51">
        <v>0</v>
      </c>
      <c r="M1883" s="52">
        <v>0</v>
      </c>
      <c r="N1883" s="2">
        <f t="shared" si="2706"/>
        <v>0.5</v>
      </c>
      <c r="O1883" s="2">
        <f t="shared" si="2647"/>
        <v>1375</v>
      </c>
      <c r="P1883" s="13"/>
      <c r="Q1883" s="13"/>
      <c r="R1883" s="13"/>
      <c r="S1883" s="13"/>
      <c r="T1883" s="13"/>
      <c r="U1883" s="13"/>
      <c r="V1883" s="13"/>
      <c r="W1883" s="13"/>
      <c r="X1883" s="13"/>
      <c r="Y1883" s="13"/>
      <c r="Z1883" s="13"/>
      <c r="AA1883" s="13"/>
      <c r="AB1883" s="13"/>
      <c r="AC1883" s="13"/>
      <c r="AD1883" s="13"/>
      <c r="AE1883" s="13"/>
      <c r="AF1883" s="13"/>
      <c r="AG1883" s="13"/>
    </row>
    <row r="1884" spans="1:33" s="14" customFormat="1">
      <c r="A1884" s="10">
        <v>43271</v>
      </c>
      <c r="B1884" s="3" t="s">
        <v>328</v>
      </c>
      <c r="C1884" s="15" t="s">
        <v>47</v>
      </c>
      <c r="D1884" s="15">
        <v>1650</v>
      </c>
      <c r="E1884" s="11">
        <v>500</v>
      </c>
      <c r="F1884" s="3" t="s">
        <v>8</v>
      </c>
      <c r="G1884" s="46">
        <v>25.5</v>
      </c>
      <c r="H1884" s="3">
        <v>29</v>
      </c>
      <c r="I1884" s="46">
        <v>34</v>
      </c>
      <c r="J1884" s="55">
        <v>37</v>
      </c>
      <c r="K1884" s="1">
        <f t="shared" ref="K1884" si="2714">(IF(F1884="SELL",G1884-H1884,IF(F1884="BUY",H1884-G1884)))*E1884</f>
        <v>1750</v>
      </c>
      <c r="L1884" s="51">
        <f t="shared" ref="L1884" si="2715">(IF(F1884="SELL",IF(I1884="",0,H1884-I1884),IF(F1884="BUY",IF(I1884="",0,I1884-H1884))))*E1884</f>
        <v>2500</v>
      </c>
      <c r="M1884" s="52">
        <v>1500</v>
      </c>
      <c r="N1884" s="2">
        <f t="shared" si="2706"/>
        <v>11.5</v>
      </c>
      <c r="O1884" s="2">
        <f t="shared" si="2647"/>
        <v>5750</v>
      </c>
      <c r="P1884" s="13"/>
      <c r="Q1884" s="13"/>
      <c r="R1884" s="13"/>
      <c r="S1884" s="13"/>
      <c r="T1884" s="13"/>
      <c r="U1884" s="13"/>
      <c r="V1884" s="13"/>
      <c r="W1884" s="13"/>
      <c r="X1884" s="13"/>
      <c r="Y1884" s="13"/>
      <c r="Z1884" s="13"/>
      <c r="AA1884" s="13"/>
      <c r="AB1884" s="13"/>
      <c r="AC1884" s="13"/>
      <c r="AD1884" s="13"/>
      <c r="AE1884" s="13"/>
      <c r="AF1884" s="13"/>
      <c r="AG1884" s="13"/>
    </row>
    <row r="1885" spans="1:33" s="14" customFormat="1">
      <c r="A1885" s="10">
        <v>43271</v>
      </c>
      <c r="B1885" s="3" t="s">
        <v>122</v>
      </c>
      <c r="C1885" s="15" t="s">
        <v>47</v>
      </c>
      <c r="D1885" s="15">
        <v>1850</v>
      </c>
      <c r="E1885" s="11">
        <v>500</v>
      </c>
      <c r="F1885" s="3" t="s">
        <v>8</v>
      </c>
      <c r="G1885" s="46">
        <v>14.5</v>
      </c>
      <c r="H1885" s="3">
        <v>17.5</v>
      </c>
      <c r="I1885" s="46">
        <v>0</v>
      </c>
      <c r="J1885" s="55">
        <v>0</v>
      </c>
      <c r="K1885" s="1">
        <f t="shared" ref="K1885" si="2716">(IF(F1885="SELL",G1885-H1885,IF(F1885="BUY",H1885-G1885)))*E1885</f>
        <v>1500</v>
      </c>
      <c r="L1885" s="51">
        <v>0</v>
      </c>
      <c r="M1885" s="52">
        <v>0</v>
      </c>
      <c r="N1885" s="2">
        <f t="shared" si="2706"/>
        <v>3</v>
      </c>
      <c r="O1885" s="2">
        <f t="shared" si="2647"/>
        <v>1500</v>
      </c>
      <c r="P1885" s="13"/>
      <c r="Q1885" s="13"/>
      <c r="R1885" s="13"/>
      <c r="S1885" s="13"/>
      <c r="T1885" s="13"/>
      <c r="U1885" s="13"/>
      <c r="V1885" s="13"/>
      <c r="W1885" s="13"/>
      <c r="X1885" s="13"/>
      <c r="Y1885" s="13"/>
      <c r="Z1885" s="13"/>
      <c r="AA1885" s="13"/>
      <c r="AB1885" s="13"/>
      <c r="AC1885" s="13"/>
      <c r="AD1885" s="13"/>
      <c r="AE1885" s="13"/>
      <c r="AF1885" s="13"/>
      <c r="AG1885" s="13"/>
    </row>
    <row r="1886" spans="1:33" s="14" customFormat="1">
      <c r="A1886" s="10">
        <v>43271</v>
      </c>
      <c r="B1886" s="3" t="s">
        <v>175</v>
      </c>
      <c r="C1886" s="15" t="s">
        <v>47</v>
      </c>
      <c r="D1886" s="15">
        <v>2300</v>
      </c>
      <c r="E1886" s="11">
        <v>500</v>
      </c>
      <c r="F1886" s="3" t="s">
        <v>8</v>
      </c>
      <c r="G1886" s="46">
        <v>38.5</v>
      </c>
      <c r="H1886" s="3">
        <v>41.5</v>
      </c>
      <c r="I1886" s="46">
        <v>0</v>
      </c>
      <c r="J1886" s="55">
        <v>0</v>
      </c>
      <c r="K1886" s="1">
        <f t="shared" ref="K1886" si="2717">(IF(F1886="SELL",G1886-H1886,IF(F1886="BUY",H1886-G1886)))*E1886</f>
        <v>1500</v>
      </c>
      <c r="L1886" s="51">
        <v>0</v>
      </c>
      <c r="M1886" s="52">
        <v>0</v>
      </c>
      <c r="N1886" s="2">
        <f t="shared" si="2706"/>
        <v>3</v>
      </c>
      <c r="O1886" s="2">
        <f t="shared" si="2647"/>
        <v>1500</v>
      </c>
      <c r="P1886" s="13"/>
      <c r="Q1886" s="13"/>
      <c r="R1886" s="13"/>
      <c r="S1886" s="13"/>
      <c r="T1886" s="13"/>
      <c r="U1886" s="13"/>
      <c r="V1886" s="13"/>
      <c r="W1886" s="13"/>
      <c r="X1886" s="13"/>
      <c r="Y1886" s="13"/>
      <c r="Z1886" s="13"/>
      <c r="AA1886" s="13"/>
      <c r="AB1886" s="13"/>
      <c r="AC1886" s="13"/>
      <c r="AD1886" s="13"/>
      <c r="AE1886" s="13"/>
      <c r="AF1886" s="13"/>
      <c r="AG1886" s="13"/>
    </row>
    <row r="1887" spans="1:33" s="14" customFormat="1">
      <c r="A1887" s="10">
        <v>43270</v>
      </c>
      <c r="B1887" s="3" t="s">
        <v>327</v>
      </c>
      <c r="C1887" s="15" t="s">
        <v>47</v>
      </c>
      <c r="D1887" s="15">
        <v>580</v>
      </c>
      <c r="E1887" s="11">
        <v>1500</v>
      </c>
      <c r="F1887" s="3" t="s">
        <v>8</v>
      </c>
      <c r="G1887" s="46">
        <v>16.5</v>
      </c>
      <c r="H1887" s="3">
        <v>17.5</v>
      </c>
      <c r="I1887" s="46">
        <v>19</v>
      </c>
      <c r="J1887" s="55">
        <v>21</v>
      </c>
      <c r="K1887" s="1">
        <f t="shared" ref="K1887" si="2718">(IF(F1887="SELL",G1887-H1887,IF(F1887="BUY",H1887-G1887)))*E1887</f>
        <v>1500</v>
      </c>
      <c r="L1887" s="51">
        <f t="shared" ref="L1887" si="2719">(IF(F1887="SELL",IF(I1887="",0,H1887-I1887),IF(F1887="BUY",IF(I1887="",0,I1887-H1887))))*E1887</f>
        <v>2250</v>
      </c>
      <c r="M1887" s="52">
        <v>3000</v>
      </c>
      <c r="N1887" s="2">
        <f t="shared" si="2706"/>
        <v>4.5</v>
      </c>
      <c r="O1887" s="2">
        <f t="shared" si="2647"/>
        <v>6750</v>
      </c>
      <c r="P1887" s="13"/>
      <c r="Q1887" s="13"/>
      <c r="R1887" s="13"/>
      <c r="S1887" s="13"/>
      <c r="T1887" s="13"/>
      <c r="U1887" s="13"/>
      <c r="V1887" s="13"/>
      <c r="W1887" s="13"/>
      <c r="X1887" s="13"/>
      <c r="Y1887" s="13"/>
      <c r="Z1887" s="13"/>
      <c r="AA1887" s="13"/>
      <c r="AB1887" s="13"/>
      <c r="AC1887" s="13"/>
      <c r="AD1887" s="13"/>
      <c r="AE1887" s="13"/>
      <c r="AF1887" s="13"/>
      <c r="AG1887" s="13"/>
    </row>
    <row r="1888" spans="1:33" s="14" customFormat="1">
      <c r="A1888" s="10">
        <v>43270</v>
      </c>
      <c r="B1888" s="3" t="s">
        <v>326</v>
      </c>
      <c r="C1888" s="15" t="s">
        <v>47</v>
      </c>
      <c r="D1888" s="15">
        <v>200</v>
      </c>
      <c r="E1888" s="11">
        <v>4000</v>
      </c>
      <c r="F1888" s="3" t="s">
        <v>8</v>
      </c>
      <c r="G1888" s="46">
        <v>1.9</v>
      </c>
      <c r="H1888" s="3">
        <v>2.2999999999999998</v>
      </c>
      <c r="I1888" s="46">
        <v>0</v>
      </c>
      <c r="J1888" s="55">
        <v>0</v>
      </c>
      <c r="K1888" s="1">
        <f t="shared" ref="K1888" si="2720">(IF(F1888="SELL",G1888-H1888,IF(F1888="BUY",H1888-G1888)))*E1888</f>
        <v>1599.9999999999995</v>
      </c>
      <c r="L1888" s="51">
        <v>0</v>
      </c>
      <c r="M1888" s="52">
        <v>0</v>
      </c>
      <c r="N1888" s="2">
        <f t="shared" si="2706"/>
        <v>0.39999999999999991</v>
      </c>
      <c r="O1888" s="2">
        <f t="shared" ref="O1888:O1951" si="2721">N1888*E1888</f>
        <v>1599.9999999999995</v>
      </c>
      <c r="P1888" s="13"/>
      <c r="Q1888" s="13"/>
      <c r="R1888" s="13"/>
      <c r="S1888" s="13"/>
      <c r="T1888" s="13"/>
      <c r="U1888" s="13"/>
      <c r="V1888" s="13"/>
      <c r="W1888" s="13"/>
      <c r="X1888" s="13"/>
      <c r="Y1888" s="13"/>
      <c r="Z1888" s="13"/>
      <c r="AA1888" s="13"/>
      <c r="AB1888" s="13"/>
      <c r="AC1888" s="13"/>
      <c r="AD1888" s="13"/>
      <c r="AE1888" s="13"/>
      <c r="AF1888" s="13"/>
      <c r="AG1888" s="13"/>
    </row>
    <row r="1889" spans="1:33" s="14" customFormat="1">
      <c r="A1889" s="10">
        <v>43270</v>
      </c>
      <c r="B1889" s="3" t="s">
        <v>74</v>
      </c>
      <c r="C1889" s="15" t="s">
        <v>47</v>
      </c>
      <c r="D1889" s="15">
        <v>1600</v>
      </c>
      <c r="E1889" s="11">
        <v>600</v>
      </c>
      <c r="F1889" s="3" t="s">
        <v>8</v>
      </c>
      <c r="G1889" s="46">
        <v>19.5</v>
      </c>
      <c r="H1889" s="3">
        <v>0</v>
      </c>
      <c r="I1889" s="46">
        <v>0</v>
      </c>
      <c r="J1889" s="55">
        <v>0</v>
      </c>
      <c r="K1889" s="1">
        <v>0</v>
      </c>
      <c r="L1889" s="51">
        <f t="shared" ref="L1889" si="2722">(IF(F1889="SELL",IF(I1889="",0,H1889-I1889),IF(F1889="BUY",IF(I1889="",0,I1889-H1889))))*E1889</f>
        <v>0</v>
      </c>
      <c r="M1889" s="52">
        <v>0</v>
      </c>
      <c r="N1889" s="2">
        <f t="shared" si="2706"/>
        <v>0</v>
      </c>
      <c r="O1889" s="2">
        <f t="shared" si="2721"/>
        <v>0</v>
      </c>
      <c r="P1889" s="13"/>
      <c r="Q1889" s="13"/>
      <c r="R1889" s="13"/>
      <c r="S1889" s="13"/>
      <c r="T1889" s="13"/>
      <c r="U1889" s="13"/>
      <c r="V1889" s="13"/>
      <c r="W1889" s="13"/>
      <c r="X1889" s="13"/>
      <c r="Y1889" s="13"/>
      <c r="Z1889" s="13"/>
      <c r="AA1889" s="13"/>
      <c r="AB1889" s="13"/>
      <c r="AC1889" s="13"/>
      <c r="AD1889" s="13"/>
      <c r="AE1889" s="13"/>
      <c r="AF1889" s="13"/>
      <c r="AG1889" s="13"/>
    </row>
    <row r="1890" spans="1:33" s="14" customFormat="1">
      <c r="A1890" s="10">
        <v>43269</v>
      </c>
      <c r="B1890" s="3" t="s">
        <v>154</v>
      </c>
      <c r="C1890" s="15" t="s">
        <v>47</v>
      </c>
      <c r="D1890" s="15">
        <v>420</v>
      </c>
      <c r="E1890" s="11">
        <v>1800</v>
      </c>
      <c r="F1890" s="3" t="s">
        <v>8</v>
      </c>
      <c r="G1890" s="46">
        <v>14.6</v>
      </c>
      <c r="H1890" s="3">
        <v>15.6</v>
      </c>
      <c r="I1890" s="46">
        <v>16.95</v>
      </c>
      <c r="J1890" s="55">
        <v>0</v>
      </c>
      <c r="K1890" s="1">
        <f t="shared" ref="K1890" si="2723">(IF(F1890="SELL",G1890-H1890,IF(F1890="BUY",H1890-G1890)))*E1890</f>
        <v>1800</v>
      </c>
      <c r="L1890" s="51">
        <f t="shared" ref="L1890" si="2724">(IF(F1890="SELL",IF(I1890="",0,H1890-I1890),IF(F1890="BUY",IF(I1890="",0,I1890-H1890))))*E1890</f>
        <v>2429.9999999999995</v>
      </c>
      <c r="M1890" s="52">
        <v>0</v>
      </c>
      <c r="N1890" s="2">
        <f t="shared" si="2706"/>
        <v>2.35</v>
      </c>
      <c r="O1890" s="2">
        <f t="shared" si="2721"/>
        <v>4230</v>
      </c>
      <c r="P1890" s="13"/>
      <c r="Q1890" s="13"/>
      <c r="R1890" s="13"/>
      <c r="S1890" s="13"/>
      <c r="T1890" s="13"/>
      <c r="U1890" s="13"/>
      <c r="V1890" s="13"/>
      <c r="W1890" s="13"/>
      <c r="X1890" s="13"/>
      <c r="Y1890" s="13"/>
      <c r="Z1890" s="13"/>
      <c r="AA1890" s="13"/>
      <c r="AB1890" s="13"/>
      <c r="AC1890" s="13"/>
      <c r="AD1890" s="13"/>
      <c r="AE1890" s="13"/>
      <c r="AF1890" s="13"/>
      <c r="AG1890" s="13"/>
    </row>
    <row r="1891" spans="1:33" s="14" customFormat="1">
      <c r="A1891" s="10">
        <v>43269</v>
      </c>
      <c r="B1891" s="3" t="s">
        <v>218</v>
      </c>
      <c r="C1891" s="15" t="s">
        <v>47</v>
      </c>
      <c r="D1891" s="15">
        <v>580</v>
      </c>
      <c r="E1891" s="11">
        <v>1500</v>
      </c>
      <c r="F1891" s="3" t="s">
        <v>8</v>
      </c>
      <c r="G1891" s="46">
        <v>15</v>
      </c>
      <c r="H1891" s="3">
        <v>15.95</v>
      </c>
      <c r="I1891" s="46">
        <v>0</v>
      </c>
      <c r="J1891" s="55">
        <v>0</v>
      </c>
      <c r="K1891" s="1">
        <f t="shared" ref="K1891" si="2725">(IF(F1891="SELL",G1891-H1891,IF(F1891="BUY",H1891-G1891)))*E1891</f>
        <v>1424.9999999999989</v>
      </c>
      <c r="L1891" s="51">
        <v>0</v>
      </c>
      <c r="M1891" s="52">
        <v>0</v>
      </c>
      <c r="N1891" s="2">
        <f t="shared" si="2706"/>
        <v>0.94999999999999929</v>
      </c>
      <c r="O1891" s="2">
        <f t="shared" si="2721"/>
        <v>1424.9999999999989</v>
      </c>
      <c r="P1891" s="13"/>
      <c r="Q1891" s="13"/>
      <c r="R1891" s="13"/>
      <c r="S1891" s="13"/>
      <c r="T1891" s="13"/>
      <c r="U1891" s="13"/>
      <c r="V1891" s="13"/>
      <c r="W1891" s="13"/>
      <c r="X1891" s="13"/>
      <c r="Y1891" s="13"/>
      <c r="Z1891" s="13"/>
      <c r="AA1891" s="13"/>
      <c r="AB1891" s="13"/>
      <c r="AC1891" s="13"/>
      <c r="AD1891" s="13"/>
      <c r="AE1891" s="13"/>
      <c r="AF1891" s="13"/>
      <c r="AG1891" s="13"/>
    </row>
    <row r="1892" spans="1:33" s="14" customFormat="1">
      <c r="A1892" s="10">
        <v>43269</v>
      </c>
      <c r="B1892" s="3" t="s">
        <v>218</v>
      </c>
      <c r="C1892" s="15" t="s">
        <v>47</v>
      </c>
      <c r="D1892" s="15">
        <v>580</v>
      </c>
      <c r="E1892" s="11">
        <v>1500</v>
      </c>
      <c r="F1892" s="3" t="s">
        <v>8</v>
      </c>
      <c r="G1892" s="46">
        <v>13.5</v>
      </c>
      <c r="H1892" s="3">
        <v>14.5</v>
      </c>
      <c r="I1892" s="46">
        <v>0</v>
      </c>
      <c r="J1892" s="55">
        <v>0</v>
      </c>
      <c r="K1892" s="1">
        <f t="shared" ref="K1892" si="2726">(IF(F1892="SELL",G1892-H1892,IF(F1892="BUY",H1892-G1892)))*E1892</f>
        <v>1500</v>
      </c>
      <c r="L1892" s="51">
        <v>0</v>
      </c>
      <c r="M1892" s="52">
        <v>0</v>
      </c>
      <c r="N1892" s="2">
        <f t="shared" si="2706"/>
        <v>1</v>
      </c>
      <c r="O1892" s="2">
        <f t="shared" si="2721"/>
        <v>1500</v>
      </c>
      <c r="P1892" s="13"/>
      <c r="Q1892" s="13"/>
      <c r="R1892" s="13"/>
      <c r="S1892" s="13"/>
      <c r="T1892" s="13"/>
      <c r="U1892" s="13"/>
      <c r="V1892" s="13"/>
      <c r="W1892" s="13"/>
      <c r="X1892" s="13"/>
      <c r="Y1892" s="13"/>
      <c r="Z1892" s="13"/>
      <c r="AA1892" s="13"/>
      <c r="AB1892" s="13"/>
      <c r="AC1892" s="13"/>
      <c r="AD1892" s="13"/>
      <c r="AE1892" s="13"/>
      <c r="AF1892" s="13"/>
      <c r="AG1892" s="13"/>
    </row>
    <row r="1893" spans="1:33" s="14" customFormat="1">
      <c r="A1893" s="10">
        <v>43269</v>
      </c>
      <c r="B1893" s="3" t="s">
        <v>321</v>
      </c>
      <c r="C1893" s="15" t="s">
        <v>47</v>
      </c>
      <c r="D1893" s="15">
        <v>1000</v>
      </c>
      <c r="E1893" s="11">
        <v>800</v>
      </c>
      <c r="F1893" s="3" t="s">
        <v>8</v>
      </c>
      <c r="G1893" s="46">
        <v>23</v>
      </c>
      <c r="H1893" s="3">
        <v>25</v>
      </c>
      <c r="I1893" s="46">
        <v>0</v>
      </c>
      <c r="J1893" s="55">
        <v>0</v>
      </c>
      <c r="K1893" s="1">
        <f t="shared" ref="K1893" si="2727">(IF(F1893="SELL",G1893-H1893,IF(F1893="BUY",H1893-G1893)))*E1893</f>
        <v>1600</v>
      </c>
      <c r="L1893" s="51">
        <v>0</v>
      </c>
      <c r="M1893" s="52">
        <v>0</v>
      </c>
      <c r="N1893" s="2">
        <f t="shared" si="2706"/>
        <v>2</v>
      </c>
      <c r="O1893" s="2">
        <f t="shared" si="2721"/>
        <v>1600</v>
      </c>
      <c r="P1893" s="13"/>
      <c r="Q1893" s="13"/>
      <c r="R1893" s="13"/>
      <c r="S1893" s="13"/>
      <c r="T1893" s="13"/>
      <c r="U1893" s="13"/>
      <c r="V1893" s="13"/>
      <c r="W1893" s="13"/>
      <c r="X1893" s="13"/>
      <c r="Y1893" s="13"/>
      <c r="Z1893" s="13"/>
      <c r="AA1893" s="13"/>
      <c r="AB1893" s="13"/>
      <c r="AC1893" s="13"/>
      <c r="AD1893" s="13"/>
      <c r="AE1893" s="13"/>
      <c r="AF1893" s="13"/>
      <c r="AG1893" s="13"/>
    </row>
    <row r="1894" spans="1:33" s="14" customFormat="1">
      <c r="A1894" s="10">
        <v>43269</v>
      </c>
      <c r="B1894" s="3" t="s">
        <v>325</v>
      </c>
      <c r="C1894" s="15" t="s">
        <v>47</v>
      </c>
      <c r="D1894" s="15">
        <v>960</v>
      </c>
      <c r="E1894" s="11">
        <v>750</v>
      </c>
      <c r="F1894" s="3" t="s">
        <v>8</v>
      </c>
      <c r="G1894" s="46">
        <v>15</v>
      </c>
      <c r="H1894" s="3">
        <v>11</v>
      </c>
      <c r="I1894" s="46">
        <v>0</v>
      </c>
      <c r="J1894" s="55">
        <v>0</v>
      </c>
      <c r="K1894" s="1">
        <f t="shared" ref="K1894" si="2728">(IF(F1894="SELL",G1894-H1894,IF(F1894="BUY",H1894-G1894)))*E1894</f>
        <v>-3000</v>
      </c>
      <c r="L1894" s="51">
        <v>0</v>
      </c>
      <c r="M1894" s="52">
        <v>0</v>
      </c>
      <c r="N1894" s="2">
        <f t="shared" si="2706"/>
        <v>-4</v>
      </c>
      <c r="O1894" s="2">
        <f t="shared" si="2721"/>
        <v>-3000</v>
      </c>
      <c r="P1894" s="13"/>
      <c r="Q1894" s="13"/>
      <c r="R1894" s="13"/>
      <c r="S1894" s="13"/>
      <c r="T1894" s="13"/>
      <c r="U1894" s="13"/>
      <c r="V1894" s="13"/>
      <c r="W1894" s="13"/>
      <c r="X1894" s="13"/>
      <c r="Y1894" s="13"/>
      <c r="Z1894" s="13"/>
      <c r="AA1894" s="13"/>
      <c r="AB1894" s="13"/>
      <c r="AC1894" s="13"/>
      <c r="AD1894" s="13"/>
      <c r="AE1894" s="13"/>
      <c r="AF1894" s="13"/>
      <c r="AG1894" s="13"/>
    </row>
    <row r="1895" spans="1:33" s="14" customFormat="1">
      <c r="A1895" s="10">
        <v>43266</v>
      </c>
      <c r="B1895" s="3" t="s">
        <v>309</v>
      </c>
      <c r="C1895" s="15" t="s">
        <v>47</v>
      </c>
      <c r="D1895" s="15">
        <v>1950</v>
      </c>
      <c r="E1895" s="11">
        <v>500</v>
      </c>
      <c r="F1895" s="3" t="s">
        <v>8</v>
      </c>
      <c r="G1895" s="46">
        <v>30.15</v>
      </c>
      <c r="H1895" s="3">
        <v>33.15</v>
      </c>
      <c r="I1895" s="46">
        <v>37</v>
      </c>
      <c r="J1895" s="55">
        <v>0</v>
      </c>
      <c r="K1895" s="1">
        <f t="shared" ref="K1895" si="2729">(IF(F1895="SELL",G1895-H1895,IF(F1895="BUY",H1895-G1895)))*E1895</f>
        <v>1500</v>
      </c>
      <c r="L1895" s="51">
        <f t="shared" ref="L1895" si="2730">(IF(F1895="SELL",IF(I1895="",0,H1895-I1895),IF(F1895="BUY",IF(I1895="",0,I1895-H1895))))*E1895</f>
        <v>1925.0000000000007</v>
      </c>
      <c r="M1895" s="52">
        <v>0</v>
      </c>
      <c r="N1895" s="2">
        <f t="shared" si="2706"/>
        <v>6.8500000000000014</v>
      </c>
      <c r="O1895" s="2">
        <f t="shared" si="2721"/>
        <v>3425.0000000000009</v>
      </c>
      <c r="P1895" s="13"/>
      <c r="Q1895" s="13"/>
      <c r="R1895" s="13"/>
      <c r="S1895" s="13"/>
      <c r="T1895" s="13"/>
      <c r="U1895" s="13"/>
      <c r="V1895" s="13"/>
      <c r="W1895" s="13"/>
      <c r="X1895" s="13"/>
      <c r="Y1895" s="13"/>
      <c r="Z1895" s="13"/>
      <c r="AA1895" s="13"/>
      <c r="AB1895" s="13"/>
      <c r="AC1895" s="13"/>
      <c r="AD1895" s="13"/>
      <c r="AE1895" s="13"/>
      <c r="AF1895" s="13"/>
      <c r="AG1895" s="13"/>
    </row>
    <row r="1896" spans="1:33" s="14" customFormat="1">
      <c r="A1896" s="10">
        <v>43266</v>
      </c>
      <c r="B1896" s="3" t="s">
        <v>208</v>
      </c>
      <c r="C1896" s="15" t="s">
        <v>47</v>
      </c>
      <c r="D1896" s="15">
        <v>1120</v>
      </c>
      <c r="E1896" s="11">
        <v>800</v>
      </c>
      <c r="F1896" s="3" t="s">
        <v>8</v>
      </c>
      <c r="G1896" s="46">
        <v>28.5</v>
      </c>
      <c r="H1896" s="3">
        <v>30.5</v>
      </c>
      <c r="I1896" s="46">
        <v>33.85</v>
      </c>
      <c r="J1896" s="55">
        <v>0</v>
      </c>
      <c r="K1896" s="1">
        <f t="shared" ref="K1896" si="2731">(IF(F1896="SELL",G1896-H1896,IF(F1896="BUY",H1896-G1896)))*E1896</f>
        <v>1600</v>
      </c>
      <c r="L1896" s="51">
        <f t="shared" ref="L1896" si="2732">(IF(F1896="SELL",IF(I1896="",0,H1896-I1896),IF(F1896="BUY",IF(I1896="",0,I1896-H1896))))*E1896</f>
        <v>2680.0000000000009</v>
      </c>
      <c r="M1896" s="52">
        <v>0</v>
      </c>
      <c r="N1896" s="2">
        <f t="shared" si="2706"/>
        <v>5.3500000000000014</v>
      </c>
      <c r="O1896" s="2">
        <f t="shared" si="2721"/>
        <v>4280.0000000000009</v>
      </c>
      <c r="P1896" s="13"/>
      <c r="Q1896" s="13"/>
      <c r="R1896" s="13"/>
      <c r="S1896" s="13"/>
      <c r="T1896" s="13"/>
      <c r="U1896" s="13"/>
      <c r="V1896" s="13"/>
      <c r="W1896" s="13"/>
      <c r="X1896" s="13"/>
      <c r="Y1896" s="13"/>
      <c r="Z1896" s="13"/>
      <c r="AA1896" s="13"/>
      <c r="AB1896" s="13"/>
      <c r="AC1896" s="13"/>
      <c r="AD1896" s="13"/>
      <c r="AE1896" s="13"/>
      <c r="AF1896" s="13"/>
      <c r="AG1896" s="13"/>
    </row>
    <row r="1897" spans="1:33" s="14" customFormat="1">
      <c r="A1897" s="10">
        <v>43266</v>
      </c>
      <c r="B1897" s="3" t="s">
        <v>321</v>
      </c>
      <c r="C1897" s="15" t="s">
        <v>47</v>
      </c>
      <c r="D1897" s="15">
        <v>1000</v>
      </c>
      <c r="E1897" s="11">
        <v>800</v>
      </c>
      <c r="F1897" s="3" t="s">
        <v>8</v>
      </c>
      <c r="G1897" s="46">
        <v>36.5</v>
      </c>
      <c r="H1897" s="3">
        <v>38.5</v>
      </c>
      <c r="I1897" s="46">
        <v>0</v>
      </c>
      <c r="J1897" s="55">
        <v>0</v>
      </c>
      <c r="K1897" s="1">
        <f t="shared" ref="K1897" si="2733">(IF(F1897="SELL",G1897-H1897,IF(F1897="BUY",H1897-G1897)))*E1897</f>
        <v>1600</v>
      </c>
      <c r="L1897" s="51">
        <v>0</v>
      </c>
      <c r="M1897" s="52">
        <v>0</v>
      </c>
      <c r="N1897" s="2">
        <f t="shared" si="2706"/>
        <v>2</v>
      </c>
      <c r="O1897" s="2">
        <f t="shared" si="2721"/>
        <v>1600</v>
      </c>
      <c r="P1897" s="13"/>
      <c r="Q1897" s="13"/>
      <c r="R1897" s="13"/>
      <c r="S1897" s="13"/>
      <c r="T1897" s="13"/>
      <c r="U1897" s="13"/>
      <c r="V1897" s="13"/>
      <c r="W1897" s="13"/>
      <c r="X1897" s="13"/>
      <c r="Y1897" s="13"/>
      <c r="Z1897" s="13"/>
      <c r="AA1897" s="13"/>
      <c r="AB1897" s="13"/>
      <c r="AC1897" s="13"/>
      <c r="AD1897" s="13"/>
      <c r="AE1897" s="13"/>
      <c r="AF1897" s="13"/>
      <c r="AG1897" s="13"/>
    </row>
    <row r="1898" spans="1:33" s="14" customFormat="1">
      <c r="A1898" s="10">
        <v>43266</v>
      </c>
      <c r="B1898" s="3" t="s">
        <v>325</v>
      </c>
      <c r="C1898" s="15" t="s">
        <v>47</v>
      </c>
      <c r="D1898" s="15">
        <v>960</v>
      </c>
      <c r="E1898" s="11">
        <v>700</v>
      </c>
      <c r="F1898" s="3" t="s">
        <v>8</v>
      </c>
      <c r="G1898" s="46">
        <v>11.5</v>
      </c>
      <c r="H1898" s="3">
        <v>13.5</v>
      </c>
      <c r="I1898" s="46">
        <v>0</v>
      </c>
      <c r="J1898" s="55">
        <v>0</v>
      </c>
      <c r="K1898" s="1">
        <f t="shared" ref="K1898" si="2734">(IF(F1898="SELL",G1898-H1898,IF(F1898="BUY",H1898-G1898)))*E1898</f>
        <v>1400</v>
      </c>
      <c r="L1898" s="51">
        <v>0</v>
      </c>
      <c r="M1898" s="52">
        <v>0</v>
      </c>
      <c r="N1898" s="2">
        <f t="shared" si="2706"/>
        <v>2</v>
      </c>
      <c r="O1898" s="2">
        <f t="shared" si="2721"/>
        <v>1400</v>
      </c>
      <c r="P1898" s="13"/>
      <c r="Q1898" s="13"/>
      <c r="R1898" s="13"/>
      <c r="S1898" s="13"/>
      <c r="T1898" s="13"/>
      <c r="U1898" s="13"/>
      <c r="V1898" s="13"/>
      <c r="W1898" s="13"/>
      <c r="X1898" s="13"/>
      <c r="Y1898" s="13"/>
      <c r="Z1898" s="13"/>
      <c r="AA1898" s="13"/>
      <c r="AB1898" s="13"/>
      <c r="AC1898" s="13"/>
      <c r="AD1898" s="13"/>
      <c r="AE1898" s="13"/>
      <c r="AF1898" s="13"/>
      <c r="AG1898" s="13"/>
    </row>
    <row r="1899" spans="1:33" s="14" customFormat="1">
      <c r="A1899" s="10">
        <v>43265</v>
      </c>
      <c r="B1899" s="3" t="s">
        <v>141</v>
      </c>
      <c r="C1899" s="15" t="s">
        <v>46</v>
      </c>
      <c r="D1899" s="15">
        <v>340</v>
      </c>
      <c r="E1899" s="11">
        <v>3000</v>
      </c>
      <c r="F1899" s="3" t="s">
        <v>8</v>
      </c>
      <c r="G1899" s="46">
        <v>8.25</v>
      </c>
      <c r="H1899" s="3">
        <v>9</v>
      </c>
      <c r="I1899" s="46">
        <v>0</v>
      </c>
      <c r="J1899" s="55">
        <v>0</v>
      </c>
      <c r="K1899" s="1">
        <f t="shared" ref="K1899" si="2735">(IF(F1899="SELL",G1899-H1899,IF(F1899="BUY",H1899-G1899)))*E1899</f>
        <v>2250</v>
      </c>
      <c r="L1899" s="51">
        <v>0</v>
      </c>
      <c r="M1899" s="52">
        <v>0</v>
      </c>
      <c r="N1899" s="2">
        <f t="shared" si="2706"/>
        <v>0.75</v>
      </c>
      <c r="O1899" s="2">
        <f t="shared" si="2721"/>
        <v>2250</v>
      </c>
      <c r="P1899" s="13"/>
      <c r="Q1899" s="13"/>
      <c r="R1899" s="13"/>
      <c r="S1899" s="13"/>
      <c r="T1899" s="13"/>
      <c r="U1899" s="13"/>
      <c r="V1899" s="13"/>
      <c r="W1899" s="13"/>
      <c r="X1899" s="13"/>
      <c r="Y1899" s="13"/>
      <c r="Z1899" s="13"/>
      <c r="AA1899" s="13"/>
      <c r="AB1899" s="13"/>
      <c r="AC1899" s="13"/>
      <c r="AD1899" s="13"/>
      <c r="AE1899" s="13"/>
      <c r="AF1899" s="13"/>
      <c r="AG1899" s="13"/>
    </row>
    <row r="1900" spans="1:33" s="14" customFormat="1">
      <c r="A1900" s="10">
        <v>43265</v>
      </c>
      <c r="B1900" s="3" t="s">
        <v>324</v>
      </c>
      <c r="C1900" s="15" t="s">
        <v>47</v>
      </c>
      <c r="D1900" s="15">
        <v>1250</v>
      </c>
      <c r="E1900" s="11">
        <v>600</v>
      </c>
      <c r="F1900" s="3" t="s">
        <v>8</v>
      </c>
      <c r="G1900" s="46">
        <v>22</v>
      </c>
      <c r="H1900" s="3">
        <v>24.5</v>
      </c>
      <c r="I1900" s="46">
        <v>0</v>
      </c>
      <c r="J1900" s="55">
        <v>0</v>
      </c>
      <c r="K1900" s="1">
        <f t="shared" ref="K1900" si="2736">(IF(F1900="SELL",G1900-H1900,IF(F1900="BUY",H1900-G1900)))*E1900</f>
        <v>1500</v>
      </c>
      <c r="L1900" s="51">
        <v>0</v>
      </c>
      <c r="M1900" s="52">
        <v>0</v>
      </c>
      <c r="N1900" s="2">
        <f t="shared" si="2706"/>
        <v>2.5</v>
      </c>
      <c r="O1900" s="2">
        <f t="shared" si="2721"/>
        <v>1500</v>
      </c>
      <c r="P1900" s="13"/>
      <c r="Q1900" s="13"/>
      <c r="R1900" s="13"/>
      <c r="S1900" s="13"/>
      <c r="T1900" s="13"/>
      <c r="U1900" s="13"/>
      <c r="V1900" s="13"/>
      <c r="W1900" s="13"/>
      <c r="X1900" s="13"/>
      <c r="Y1900" s="13"/>
      <c r="Z1900" s="13"/>
      <c r="AA1900" s="13"/>
      <c r="AB1900" s="13"/>
      <c r="AC1900" s="13"/>
      <c r="AD1900" s="13"/>
      <c r="AE1900" s="13"/>
      <c r="AF1900" s="13"/>
      <c r="AG1900" s="13"/>
    </row>
    <row r="1901" spans="1:33" s="14" customFormat="1">
      <c r="A1901" s="10">
        <v>43265</v>
      </c>
      <c r="B1901" s="3" t="s">
        <v>144</v>
      </c>
      <c r="C1901" s="15" t="s">
        <v>47</v>
      </c>
      <c r="D1901" s="15">
        <v>380</v>
      </c>
      <c r="E1901" s="11">
        <v>1700</v>
      </c>
      <c r="F1901" s="3" t="s">
        <v>8</v>
      </c>
      <c r="G1901" s="46">
        <v>11.1</v>
      </c>
      <c r="H1901" s="3">
        <v>12</v>
      </c>
      <c r="I1901" s="46">
        <v>0</v>
      </c>
      <c r="J1901" s="55">
        <v>0</v>
      </c>
      <c r="K1901" s="1">
        <f t="shared" ref="K1901" si="2737">(IF(F1901="SELL",G1901-H1901,IF(F1901="BUY",H1901-G1901)))*E1901</f>
        <v>1530.0000000000007</v>
      </c>
      <c r="L1901" s="51">
        <v>0</v>
      </c>
      <c r="M1901" s="52">
        <v>0</v>
      </c>
      <c r="N1901" s="2">
        <f t="shared" si="2706"/>
        <v>0.90000000000000036</v>
      </c>
      <c r="O1901" s="2">
        <f t="shared" si="2721"/>
        <v>1530.0000000000007</v>
      </c>
      <c r="P1901" s="13"/>
      <c r="Q1901" s="13"/>
      <c r="R1901" s="13"/>
      <c r="S1901" s="13"/>
      <c r="T1901" s="13"/>
      <c r="U1901" s="13"/>
      <c r="V1901" s="13"/>
      <c r="W1901" s="13"/>
      <c r="X1901" s="13"/>
      <c r="Y1901" s="13"/>
      <c r="Z1901" s="13"/>
      <c r="AA1901" s="13"/>
      <c r="AB1901" s="13"/>
      <c r="AC1901" s="13"/>
      <c r="AD1901" s="13"/>
      <c r="AE1901" s="13"/>
      <c r="AF1901" s="13"/>
      <c r="AG1901" s="13"/>
    </row>
    <row r="1902" spans="1:33" s="14" customFormat="1">
      <c r="A1902" s="10">
        <v>43264</v>
      </c>
      <c r="B1902" s="3" t="s">
        <v>309</v>
      </c>
      <c r="C1902" s="15" t="s">
        <v>46</v>
      </c>
      <c r="D1902" s="15">
        <v>1850</v>
      </c>
      <c r="E1902" s="11">
        <v>500</v>
      </c>
      <c r="F1902" s="3" t="s">
        <v>8</v>
      </c>
      <c r="G1902" s="46">
        <v>48</v>
      </c>
      <c r="H1902" s="3">
        <v>51</v>
      </c>
      <c r="I1902" s="46">
        <v>55</v>
      </c>
      <c r="J1902" s="55">
        <v>0</v>
      </c>
      <c r="K1902" s="1">
        <f t="shared" ref="K1902" si="2738">(IF(F1902="SELL",G1902-H1902,IF(F1902="BUY",H1902-G1902)))*E1902</f>
        <v>1500</v>
      </c>
      <c r="L1902" s="51">
        <f t="shared" ref="L1902:L1904" si="2739">(IF(F1902="SELL",IF(I1902="",0,H1902-I1902),IF(F1902="BUY",IF(I1902="",0,I1902-H1902))))*E1902</f>
        <v>2000</v>
      </c>
      <c r="M1902" s="52">
        <v>0</v>
      </c>
      <c r="N1902" s="2">
        <f t="shared" si="2706"/>
        <v>7</v>
      </c>
      <c r="O1902" s="2">
        <f t="shared" si="2721"/>
        <v>3500</v>
      </c>
      <c r="P1902" s="13"/>
      <c r="Q1902" s="13"/>
      <c r="R1902" s="13"/>
      <c r="S1902" s="13"/>
      <c r="T1902" s="13"/>
      <c r="U1902" s="13"/>
      <c r="V1902" s="13"/>
      <c r="W1902" s="13"/>
      <c r="X1902" s="13"/>
      <c r="Y1902" s="13"/>
      <c r="Z1902" s="13"/>
      <c r="AA1902" s="13"/>
      <c r="AB1902" s="13"/>
      <c r="AC1902" s="13"/>
      <c r="AD1902" s="13"/>
      <c r="AE1902" s="13"/>
      <c r="AF1902" s="13"/>
      <c r="AG1902" s="13"/>
    </row>
    <row r="1903" spans="1:33" s="14" customFormat="1">
      <c r="A1903" s="10">
        <v>43264</v>
      </c>
      <c r="B1903" s="3" t="s">
        <v>154</v>
      </c>
      <c r="C1903" s="15" t="s">
        <v>47</v>
      </c>
      <c r="D1903" s="15">
        <v>420</v>
      </c>
      <c r="E1903" s="11">
        <v>1800</v>
      </c>
      <c r="F1903" s="3" t="s">
        <v>8</v>
      </c>
      <c r="G1903" s="46">
        <v>13.3</v>
      </c>
      <c r="H1903" s="3">
        <v>13.95</v>
      </c>
      <c r="I1903" s="46">
        <v>0</v>
      </c>
      <c r="J1903" s="55">
        <v>0</v>
      </c>
      <c r="K1903" s="1">
        <f t="shared" ref="K1903" si="2740">(IF(F1903="SELL",G1903-H1903,IF(F1903="BUY",H1903-G1903)))*E1903</f>
        <v>1169.9999999999975</v>
      </c>
      <c r="L1903" s="51">
        <v>0</v>
      </c>
      <c r="M1903" s="52">
        <v>0</v>
      </c>
      <c r="N1903" s="2">
        <f t="shared" si="2706"/>
        <v>0.64999999999999858</v>
      </c>
      <c r="O1903" s="2">
        <f t="shared" si="2721"/>
        <v>1169.9999999999975</v>
      </c>
      <c r="P1903" s="13"/>
      <c r="Q1903" s="13"/>
      <c r="R1903" s="13"/>
      <c r="S1903" s="13"/>
      <c r="T1903" s="13"/>
      <c r="U1903" s="13"/>
      <c r="V1903" s="13"/>
      <c r="W1903" s="13"/>
      <c r="X1903" s="13"/>
      <c r="Y1903" s="13"/>
      <c r="Z1903" s="13"/>
      <c r="AA1903" s="13"/>
      <c r="AB1903" s="13"/>
      <c r="AC1903" s="13"/>
      <c r="AD1903" s="13"/>
      <c r="AE1903" s="13"/>
      <c r="AF1903" s="13"/>
      <c r="AG1903" s="13"/>
    </row>
    <row r="1904" spans="1:33" s="14" customFormat="1">
      <c r="A1904" s="10">
        <v>43263</v>
      </c>
      <c r="B1904" s="3" t="s">
        <v>167</v>
      </c>
      <c r="C1904" s="15" t="s">
        <v>47</v>
      </c>
      <c r="D1904" s="15">
        <v>1180</v>
      </c>
      <c r="E1904" s="11">
        <v>500</v>
      </c>
      <c r="F1904" s="3" t="s">
        <v>8</v>
      </c>
      <c r="G1904" s="46">
        <v>28.5</v>
      </c>
      <c r="H1904" s="3">
        <v>30.5</v>
      </c>
      <c r="I1904" s="46">
        <v>34</v>
      </c>
      <c r="J1904" s="55">
        <v>38</v>
      </c>
      <c r="K1904" s="1">
        <f t="shared" ref="K1904" si="2741">(IF(F1904="SELL",G1904-H1904,IF(F1904="BUY",H1904-G1904)))*E1904</f>
        <v>1000</v>
      </c>
      <c r="L1904" s="51">
        <f t="shared" si="2739"/>
        <v>1750</v>
      </c>
      <c r="M1904" s="52">
        <v>2000</v>
      </c>
      <c r="N1904" s="2">
        <f t="shared" si="2706"/>
        <v>9.5</v>
      </c>
      <c r="O1904" s="2">
        <f t="shared" si="2721"/>
        <v>4750</v>
      </c>
      <c r="P1904" s="13"/>
      <c r="Q1904" s="13"/>
      <c r="R1904" s="13"/>
      <c r="S1904" s="13"/>
      <c r="T1904" s="13"/>
      <c r="U1904" s="13"/>
      <c r="V1904" s="13"/>
      <c r="W1904" s="13"/>
      <c r="X1904" s="13"/>
      <c r="Y1904" s="13"/>
      <c r="Z1904" s="13"/>
      <c r="AA1904" s="13"/>
      <c r="AB1904" s="13"/>
      <c r="AC1904" s="13"/>
      <c r="AD1904" s="13"/>
      <c r="AE1904" s="13"/>
      <c r="AF1904" s="13"/>
      <c r="AG1904" s="13"/>
    </row>
    <row r="1905" spans="1:33" s="14" customFormat="1">
      <c r="A1905" s="10">
        <v>43263</v>
      </c>
      <c r="B1905" s="3" t="s">
        <v>323</v>
      </c>
      <c r="C1905" s="15" t="s">
        <v>47</v>
      </c>
      <c r="D1905" s="15">
        <v>380</v>
      </c>
      <c r="E1905" s="11">
        <v>1600</v>
      </c>
      <c r="F1905" s="3" t="s">
        <v>8</v>
      </c>
      <c r="G1905" s="46">
        <v>11.6</v>
      </c>
      <c r="H1905" s="3">
        <v>12.6</v>
      </c>
      <c r="I1905" s="46">
        <v>0</v>
      </c>
      <c r="J1905" s="55">
        <v>0</v>
      </c>
      <c r="K1905" s="1">
        <f t="shared" ref="K1905" si="2742">(IF(F1905="SELL",G1905-H1905,IF(F1905="BUY",H1905-G1905)))*E1905</f>
        <v>1600</v>
      </c>
      <c r="L1905" s="51">
        <v>0</v>
      </c>
      <c r="M1905" s="52">
        <v>0</v>
      </c>
      <c r="N1905" s="2">
        <f t="shared" si="2706"/>
        <v>1</v>
      </c>
      <c r="O1905" s="2">
        <f t="shared" si="2721"/>
        <v>1600</v>
      </c>
      <c r="P1905" s="13"/>
      <c r="Q1905" s="13"/>
      <c r="R1905" s="13"/>
      <c r="S1905" s="13"/>
      <c r="T1905" s="13"/>
      <c r="U1905" s="13"/>
      <c r="V1905" s="13"/>
      <c r="W1905" s="13"/>
      <c r="X1905" s="13"/>
      <c r="Y1905" s="13"/>
      <c r="Z1905" s="13"/>
      <c r="AA1905" s="13"/>
      <c r="AB1905" s="13"/>
      <c r="AC1905" s="13"/>
      <c r="AD1905" s="13"/>
      <c r="AE1905" s="13"/>
      <c r="AF1905" s="13"/>
      <c r="AG1905" s="13"/>
    </row>
    <row r="1906" spans="1:33" s="14" customFormat="1">
      <c r="A1906" s="10">
        <v>43263</v>
      </c>
      <c r="B1906" s="3" t="s">
        <v>322</v>
      </c>
      <c r="C1906" s="15" t="s">
        <v>46</v>
      </c>
      <c r="D1906" s="15">
        <v>1200</v>
      </c>
      <c r="E1906" s="11">
        <v>700</v>
      </c>
      <c r="F1906" s="3" t="s">
        <v>8</v>
      </c>
      <c r="G1906" s="46">
        <v>12.8</v>
      </c>
      <c r="H1906" s="3">
        <v>15</v>
      </c>
      <c r="I1906" s="46">
        <v>0</v>
      </c>
      <c r="J1906" s="55">
        <v>0</v>
      </c>
      <c r="K1906" s="1">
        <f t="shared" ref="K1906" si="2743">(IF(F1906="SELL",G1906-H1906,IF(F1906="BUY",H1906-G1906)))*E1906</f>
        <v>1539.9999999999995</v>
      </c>
      <c r="L1906" s="51">
        <v>0</v>
      </c>
      <c r="M1906" s="52">
        <v>0</v>
      </c>
      <c r="N1906" s="2">
        <f t="shared" si="2706"/>
        <v>2.1999999999999993</v>
      </c>
      <c r="O1906" s="2">
        <f t="shared" si="2721"/>
        <v>1539.9999999999995</v>
      </c>
      <c r="P1906" s="13"/>
      <c r="Q1906" s="13"/>
      <c r="R1906" s="13"/>
      <c r="S1906" s="13"/>
      <c r="T1906" s="13"/>
      <c r="U1906" s="13"/>
      <c r="V1906" s="13"/>
      <c r="W1906" s="13"/>
      <c r="X1906" s="13"/>
      <c r="Y1906" s="13"/>
      <c r="Z1906" s="13"/>
      <c r="AA1906" s="13"/>
      <c r="AB1906" s="13"/>
      <c r="AC1906" s="13"/>
      <c r="AD1906" s="13"/>
      <c r="AE1906" s="13"/>
      <c r="AF1906" s="13"/>
      <c r="AG1906" s="13"/>
    </row>
    <row r="1907" spans="1:33" s="14" customFormat="1">
      <c r="A1907" s="10">
        <v>43262</v>
      </c>
      <c r="B1907" s="3" t="s">
        <v>321</v>
      </c>
      <c r="C1907" s="15" t="s">
        <v>47</v>
      </c>
      <c r="D1907" s="15">
        <v>1000</v>
      </c>
      <c r="E1907" s="11">
        <v>800</v>
      </c>
      <c r="F1907" s="3" t="s">
        <v>8</v>
      </c>
      <c r="G1907" s="46">
        <v>34</v>
      </c>
      <c r="H1907" s="3">
        <v>38</v>
      </c>
      <c r="I1907" s="46">
        <v>0</v>
      </c>
      <c r="J1907" s="55">
        <v>0</v>
      </c>
      <c r="K1907" s="1">
        <f t="shared" ref="K1907" si="2744">(IF(F1907="SELL",G1907-H1907,IF(F1907="BUY",H1907-G1907)))*E1907</f>
        <v>3200</v>
      </c>
      <c r="L1907" s="51">
        <v>0</v>
      </c>
      <c r="M1907" s="52">
        <v>0</v>
      </c>
      <c r="N1907" s="2">
        <f t="shared" si="2706"/>
        <v>4</v>
      </c>
      <c r="O1907" s="2">
        <f t="shared" si="2721"/>
        <v>3200</v>
      </c>
      <c r="P1907" s="13"/>
      <c r="Q1907" s="13"/>
      <c r="R1907" s="13"/>
      <c r="S1907" s="13"/>
      <c r="T1907" s="13"/>
      <c r="U1907" s="13"/>
      <c r="V1907" s="13"/>
      <c r="W1907" s="13"/>
      <c r="X1907" s="13"/>
      <c r="Y1907" s="13"/>
      <c r="Z1907" s="13"/>
      <c r="AA1907" s="13"/>
      <c r="AB1907" s="13"/>
      <c r="AC1907" s="13"/>
      <c r="AD1907" s="13"/>
      <c r="AE1907" s="13"/>
      <c r="AF1907" s="13"/>
      <c r="AG1907" s="13"/>
    </row>
    <row r="1908" spans="1:33" s="14" customFormat="1">
      <c r="A1908" s="10">
        <v>43262</v>
      </c>
      <c r="B1908" s="3" t="s">
        <v>286</v>
      </c>
      <c r="C1908" s="15" t="s">
        <v>47</v>
      </c>
      <c r="D1908" s="15">
        <v>1600</v>
      </c>
      <c r="E1908" s="11">
        <v>600</v>
      </c>
      <c r="F1908" s="3" t="s">
        <v>8</v>
      </c>
      <c r="G1908" s="46">
        <v>27</v>
      </c>
      <c r="H1908" s="3">
        <v>30</v>
      </c>
      <c r="I1908" s="46">
        <v>0</v>
      </c>
      <c r="J1908" s="55">
        <v>0</v>
      </c>
      <c r="K1908" s="1">
        <f t="shared" ref="K1908" si="2745">(IF(F1908="SELL",G1908-H1908,IF(F1908="BUY",H1908-G1908)))*E1908</f>
        <v>1800</v>
      </c>
      <c r="L1908" s="51">
        <v>0</v>
      </c>
      <c r="M1908" s="52">
        <v>0</v>
      </c>
      <c r="N1908" s="2">
        <f t="shared" si="2706"/>
        <v>3</v>
      </c>
      <c r="O1908" s="2">
        <f t="shared" si="2721"/>
        <v>1800</v>
      </c>
      <c r="P1908" s="13"/>
      <c r="Q1908" s="13"/>
      <c r="R1908" s="13"/>
      <c r="S1908" s="13"/>
      <c r="T1908" s="13"/>
      <c r="U1908" s="13"/>
      <c r="V1908" s="13"/>
      <c r="W1908" s="13"/>
      <c r="X1908" s="13"/>
      <c r="Y1908" s="13"/>
      <c r="Z1908" s="13"/>
      <c r="AA1908" s="13"/>
      <c r="AB1908" s="13"/>
      <c r="AC1908" s="13"/>
      <c r="AD1908" s="13"/>
      <c r="AE1908" s="13"/>
      <c r="AF1908" s="13"/>
      <c r="AG1908" s="13"/>
    </row>
    <row r="1909" spans="1:33" s="14" customFormat="1">
      <c r="A1909" s="10">
        <v>43262</v>
      </c>
      <c r="B1909" s="3" t="s">
        <v>285</v>
      </c>
      <c r="C1909" s="15" t="s">
        <v>47</v>
      </c>
      <c r="D1909" s="15">
        <v>300</v>
      </c>
      <c r="E1909" s="11">
        <v>3200</v>
      </c>
      <c r="F1909" s="3" t="s">
        <v>8</v>
      </c>
      <c r="G1909" s="46">
        <v>7.05</v>
      </c>
      <c r="H1909" s="3">
        <v>7.5</v>
      </c>
      <c r="I1909" s="46">
        <v>0</v>
      </c>
      <c r="J1909" s="55">
        <v>0</v>
      </c>
      <c r="K1909" s="1">
        <f t="shared" ref="K1909" si="2746">(IF(F1909="SELL",G1909-H1909,IF(F1909="BUY",H1909-G1909)))*E1909</f>
        <v>1440.0000000000005</v>
      </c>
      <c r="L1909" s="51">
        <v>0</v>
      </c>
      <c r="M1909" s="52">
        <v>0</v>
      </c>
      <c r="N1909" s="2">
        <f t="shared" si="2706"/>
        <v>0.45000000000000012</v>
      </c>
      <c r="O1909" s="2">
        <f t="shared" si="2721"/>
        <v>1440.0000000000005</v>
      </c>
      <c r="P1909" s="13"/>
      <c r="Q1909" s="13"/>
      <c r="R1909" s="13"/>
      <c r="S1909" s="13"/>
      <c r="T1909" s="13"/>
      <c r="U1909" s="13"/>
      <c r="V1909" s="13"/>
      <c r="W1909" s="13"/>
      <c r="X1909" s="13"/>
      <c r="Y1909" s="13"/>
      <c r="Z1909" s="13"/>
      <c r="AA1909" s="13"/>
      <c r="AB1909" s="13"/>
      <c r="AC1909" s="13"/>
      <c r="AD1909" s="13"/>
      <c r="AE1909" s="13"/>
      <c r="AF1909" s="13"/>
      <c r="AG1909" s="13"/>
    </row>
    <row r="1910" spans="1:33" s="14" customFormat="1">
      <c r="A1910" s="10">
        <v>43259</v>
      </c>
      <c r="B1910" s="3" t="s">
        <v>320</v>
      </c>
      <c r="C1910" s="15" t="s">
        <v>47</v>
      </c>
      <c r="D1910" s="15">
        <v>950</v>
      </c>
      <c r="E1910" s="11">
        <v>300</v>
      </c>
      <c r="F1910" s="3" t="s">
        <v>8</v>
      </c>
      <c r="G1910" s="46">
        <v>32</v>
      </c>
      <c r="H1910" s="3">
        <v>37</v>
      </c>
      <c r="I1910" s="46">
        <v>0</v>
      </c>
      <c r="J1910" s="55">
        <v>0</v>
      </c>
      <c r="K1910" s="1">
        <f t="shared" ref="K1910" si="2747">(IF(F1910="SELL",G1910-H1910,IF(F1910="BUY",H1910-G1910)))*E1910</f>
        <v>1500</v>
      </c>
      <c r="L1910" s="51">
        <v>0</v>
      </c>
      <c r="M1910" s="52">
        <v>0</v>
      </c>
      <c r="N1910" s="2">
        <f t="shared" si="2706"/>
        <v>5</v>
      </c>
      <c r="O1910" s="2">
        <f t="shared" si="2721"/>
        <v>1500</v>
      </c>
      <c r="P1910" s="13"/>
      <c r="Q1910" s="13"/>
      <c r="R1910" s="13"/>
      <c r="S1910" s="13"/>
      <c r="T1910" s="13"/>
      <c r="U1910" s="13"/>
      <c r="V1910" s="13"/>
      <c r="W1910" s="13"/>
      <c r="X1910" s="13"/>
      <c r="Y1910" s="13"/>
      <c r="Z1910" s="13"/>
      <c r="AA1910" s="13"/>
      <c r="AB1910" s="13"/>
      <c r="AC1910" s="13"/>
      <c r="AD1910" s="13"/>
      <c r="AE1910" s="13"/>
      <c r="AF1910" s="13"/>
      <c r="AG1910" s="13"/>
    </row>
    <row r="1911" spans="1:33" s="14" customFormat="1">
      <c r="A1911" s="10">
        <v>43259</v>
      </c>
      <c r="B1911" s="3" t="s">
        <v>319</v>
      </c>
      <c r="C1911" s="15" t="s">
        <v>47</v>
      </c>
      <c r="D1911" s="15">
        <v>210</v>
      </c>
      <c r="E1911" s="11">
        <v>3000</v>
      </c>
      <c r="F1911" s="3" t="s">
        <v>8</v>
      </c>
      <c r="G1911" s="46">
        <v>7.35</v>
      </c>
      <c r="H1911" s="3">
        <v>8</v>
      </c>
      <c r="I1911" s="46">
        <v>0</v>
      </c>
      <c r="J1911" s="55">
        <v>0</v>
      </c>
      <c r="K1911" s="1">
        <f t="shared" ref="K1911" si="2748">(IF(F1911="SELL",G1911-H1911,IF(F1911="BUY",H1911-G1911)))*E1911</f>
        <v>1950.0000000000011</v>
      </c>
      <c r="L1911" s="51">
        <v>0</v>
      </c>
      <c r="M1911" s="52">
        <v>0</v>
      </c>
      <c r="N1911" s="2">
        <f t="shared" si="2706"/>
        <v>0.65000000000000036</v>
      </c>
      <c r="O1911" s="2">
        <f t="shared" si="2721"/>
        <v>1950.0000000000011</v>
      </c>
      <c r="P1911" s="13"/>
      <c r="Q1911" s="13"/>
      <c r="R1911" s="13"/>
      <c r="S1911" s="13"/>
      <c r="T1911" s="13"/>
      <c r="U1911" s="13"/>
      <c r="V1911" s="13"/>
      <c r="W1911" s="13"/>
      <c r="X1911" s="13"/>
      <c r="Y1911" s="13"/>
      <c r="Z1911" s="13"/>
      <c r="AA1911" s="13"/>
      <c r="AB1911" s="13"/>
      <c r="AC1911" s="13"/>
      <c r="AD1911" s="13"/>
      <c r="AE1911" s="13"/>
      <c r="AF1911" s="13"/>
      <c r="AG1911" s="13"/>
    </row>
    <row r="1912" spans="1:33" s="14" customFormat="1">
      <c r="A1912" s="10">
        <v>43259</v>
      </c>
      <c r="B1912" s="3" t="s">
        <v>253</v>
      </c>
      <c r="C1912" s="15" t="s">
        <v>47</v>
      </c>
      <c r="D1912" s="15">
        <v>1040</v>
      </c>
      <c r="E1912" s="11">
        <v>1200</v>
      </c>
      <c r="F1912" s="3" t="s">
        <v>8</v>
      </c>
      <c r="G1912" s="46">
        <v>31</v>
      </c>
      <c r="H1912" s="3">
        <v>32.5</v>
      </c>
      <c r="I1912" s="46">
        <v>0</v>
      </c>
      <c r="J1912" s="55">
        <v>0</v>
      </c>
      <c r="K1912" s="1">
        <f t="shared" ref="K1912" si="2749">(IF(F1912="SELL",G1912-H1912,IF(F1912="BUY",H1912-G1912)))*E1912</f>
        <v>1800</v>
      </c>
      <c r="L1912" s="51">
        <v>0</v>
      </c>
      <c r="M1912" s="52">
        <v>0</v>
      </c>
      <c r="N1912" s="2">
        <f t="shared" si="2706"/>
        <v>1.5</v>
      </c>
      <c r="O1912" s="2">
        <f t="shared" si="2721"/>
        <v>1800</v>
      </c>
      <c r="P1912" s="13"/>
      <c r="Q1912" s="13"/>
      <c r="R1912" s="13"/>
      <c r="S1912" s="13"/>
      <c r="T1912" s="13"/>
      <c r="U1912" s="13"/>
      <c r="V1912" s="13"/>
      <c r="W1912" s="13"/>
      <c r="X1912" s="13"/>
      <c r="Y1912" s="13"/>
      <c r="Z1912" s="13"/>
      <c r="AA1912" s="13"/>
      <c r="AB1912" s="13"/>
      <c r="AC1912" s="13"/>
      <c r="AD1912" s="13"/>
      <c r="AE1912" s="13"/>
      <c r="AF1912" s="13"/>
      <c r="AG1912" s="13"/>
    </row>
    <row r="1913" spans="1:33" s="14" customFormat="1">
      <c r="A1913" s="10">
        <v>43258</v>
      </c>
      <c r="B1913" s="3" t="s">
        <v>318</v>
      </c>
      <c r="C1913" s="15" t="s">
        <v>47</v>
      </c>
      <c r="D1913" s="15">
        <v>250</v>
      </c>
      <c r="E1913" s="11">
        <v>3399</v>
      </c>
      <c r="F1913" s="3" t="s">
        <v>8</v>
      </c>
      <c r="G1913" s="46">
        <v>3.9</v>
      </c>
      <c r="H1913" s="3">
        <v>4.5</v>
      </c>
      <c r="I1913" s="46">
        <v>5</v>
      </c>
      <c r="J1913" s="55">
        <v>0</v>
      </c>
      <c r="K1913" s="1">
        <f t="shared" ref="K1913" si="2750">(IF(F1913="SELL",G1913-H1913,IF(F1913="BUY",H1913-G1913)))*E1913</f>
        <v>2039.4000000000003</v>
      </c>
      <c r="L1913" s="51">
        <f t="shared" ref="L1913" si="2751">(IF(F1913="SELL",IF(I1913="",0,H1913-I1913),IF(F1913="BUY",IF(I1913="",0,I1913-H1913))))*E1913</f>
        <v>1699.5</v>
      </c>
      <c r="M1913" s="52">
        <v>0</v>
      </c>
      <c r="N1913" s="2">
        <f t="shared" si="2706"/>
        <v>1.1000000000000001</v>
      </c>
      <c r="O1913" s="2">
        <f t="shared" si="2721"/>
        <v>3738.9</v>
      </c>
      <c r="P1913" s="13"/>
      <c r="Q1913" s="13"/>
      <c r="R1913" s="13"/>
      <c r="S1913" s="13"/>
      <c r="T1913" s="13"/>
      <c r="U1913" s="13"/>
      <c r="V1913" s="13"/>
      <c r="W1913" s="13"/>
      <c r="X1913" s="13"/>
      <c r="Y1913" s="13"/>
      <c r="Z1913" s="13"/>
      <c r="AA1913" s="13"/>
      <c r="AB1913" s="13"/>
      <c r="AC1913" s="13"/>
      <c r="AD1913" s="13"/>
      <c r="AE1913" s="13"/>
      <c r="AF1913" s="13"/>
      <c r="AG1913" s="13"/>
    </row>
    <row r="1914" spans="1:33" s="14" customFormat="1">
      <c r="A1914" s="10">
        <v>43258</v>
      </c>
      <c r="B1914" s="3" t="s">
        <v>166</v>
      </c>
      <c r="C1914" s="15" t="s">
        <v>47</v>
      </c>
      <c r="D1914" s="15">
        <v>255</v>
      </c>
      <c r="E1914" s="11">
        <v>3500</v>
      </c>
      <c r="F1914" s="3" t="s">
        <v>8</v>
      </c>
      <c r="G1914" s="46">
        <v>7.25</v>
      </c>
      <c r="H1914" s="3">
        <v>7.7</v>
      </c>
      <c r="I1914" s="46">
        <v>0</v>
      </c>
      <c r="J1914" s="55">
        <v>0</v>
      </c>
      <c r="K1914" s="1">
        <f t="shared" ref="K1914" si="2752">(IF(F1914="SELL",G1914-H1914,IF(F1914="BUY",H1914-G1914)))*E1914</f>
        <v>1575.0000000000007</v>
      </c>
      <c r="L1914" s="51">
        <v>0</v>
      </c>
      <c r="M1914" s="52">
        <v>0</v>
      </c>
      <c r="N1914" s="2">
        <f t="shared" si="2706"/>
        <v>0.45000000000000018</v>
      </c>
      <c r="O1914" s="2">
        <f t="shared" si="2721"/>
        <v>1575.0000000000007</v>
      </c>
      <c r="P1914" s="13"/>
      <c r="Q1914" s="13"/>
      <c r="R1914" s="13"/>
      <c r="S1914" s="13"/>
      <c r="T1914" s="13"/>
      <c r="U1914" s="13"/>
      <c r="V1914" s="13"/>
      <c r="W1914" s="13"/>
      <c r="X1914" s="13"/>
      <c r="Y1914" s="13"/>
      <c r="Z1914" s="13"/>
      <c r="AA1914" s="13"/>
      <c r="AB1914" s="13"/>
      <c r="AC1914" s="13"/>
      <c r="AD1914" s="13"/>
      <c r="AE1914" s="13"/>
      <c r="AF1914" s="13"/>
      <c r="AG1914" s="13"/>
    </row>
    <row r="1915" spans="1:33" s="14" customFormat="1">
      <c r="A1915" s="10">
        <v>43258</v>
      </c>
      <c r="B1915" s="3" t="s">
        <v>317</v>
      </c>
      <c r="C1915" s="15" t="s">
        <v>47</v>
      </c>
      <c r="D1915" s="15">
        <v>250</v>
      </c>
      <c r="E1915" s="11">
        <v>2250</v>
      </c>
      <c r="F1915" s="3" t="s">
        <v>8</v>
      </c>
      <c r="G1915" s="46">
        <v>8</v>
      </c>
      <c r="H1915" s="3">
        <v>8.5</v>
      </c>
      <c r="I1915" s="46">
        <v>9</v>
      </c>
      <c r="J1915" s="55">
        <v>0</v>
      </c>
      <c r="K1915" s="1">
        <f t="shared" ref="K1915" si="2753">(IF(F1915="SELL",G1915-H1915,IF(F1915="BUY",H1915-G1915)))*E1915</f>
        <v>1125</v>
      </c>
      <c r="L1915" s="51">
        <f t="shared" ref="L1915" si="2754">(IF(F1915="SELL",IF(I1915="",0,H1915-I1915),IF(F1915="BUY",IF(I1915="",0,I1915-H1915))))*E1915</f>
        <v>1125</v>
      </c>
      <c r="M1915" s="52">
        <v>0</v>
      </c>
      <c r="N1915" s="2">
        <f t="shared" si="2706"/>
        <v>1</v>
      </c>
      <c r="O1915" s="2">
        <f t="shared" si="2721"/>
        <v>2250</v>
      </c>
      <c r="P1915" s="13"/>
      <c r="Q1915" s="13"/>
      <c r="R1915" s="13"/>
      <c r="S1915" s="13"/>
      <c r="T1915" s="13"/>
      <c r="U1915" s="13"/>
      <c r="V1915" s="13"/>
      <c r="W1915" s="13"/>
      <c r="X1915" s="13"/>
      <c r="Y1915" s="13"/>
      <c r="Z1915" s="13"/>
      <c r="AA1915" s="13"/>
      <c r="AB1915" s="13"/>
      <c r="AC1915" s="13"/>
      <c r="AD1915" s="13"/>
      <c r="AE1915" s="13"/>
      <c r="AF1915" s="13"/>
      <c r="AG1915" s="13"/>
    </row>
    <row r="1916" spans="1:33" s="14" customFormat="1">
      <c r="A1916" s="10">
        <v>43258</v>
      </c>
      <c r="B1916" s="3" t="s">
        <v>267</v>
      </c>
      <c r="C1916" s="15" t="s">
        <v>47</v>
      </c>
      <c r="D1916" s="15">
        <v>77.5</v>
      </c>
      <c r="E1916" s="11">
        <v>7500</v>
      </c>
      <c r="F1916" s="3" t="s">
        <v>8</v>
      </c>
      <c r="G1916" s="46">
        <v>2.4500000000000002</v>
      </c>
      <c r="H1916" s="3">
        <v>2.4500000000000002</v>
      </c>
      <c r="I1916" s="46">
        <v>0</v>
      </c>
      <c r="J1916" s="55">
        <v>0</v>
      </c>
      <c r="K1916" s="1">
        <f t="shared" ref="K1916" si="2755">(IF(F1916="SELL",G1916-H1916,IF(F1916="BUY",H1916-G1916)))*E1916</f>
        <v>0</v>
      </c>
      <c r="L1916" s="51">
        <v>0</v>
      </c>
      <c r="M1916" s="52">
        <v>0</v>
      </c>
      <c r="N1916" s="2">
        <f t="shared" si="2706"/>
        <v>0</v>
      </c>
      <c r="O1916" s="2">
        <f t="shared" si="2721"/>
        <v>0</v>
      </c>
      <c r="P1916" s="13"/>
      <c r="Q1916" s="13"/>
      <c r="R1916" s="13"/>
      <c r="S1916" s="13"/>
      <c r="T1916" s="13"/>
      <c r="U1916" s="13"/>
      <c r="V1916" s="13"/>
      <c r="W1916" s="13"/>
      <c r="X1916" s="13"/>
      <c r="Y1916" s="13"/>
      <c r="Z1916" s="13"/>
      <c r="AA1916" s="13"/>
      <c r="AB1916" s="13"/>
      <c r="AC1916" s="13"/>
      <c r="AD1916" s="13"/>
      <c r="AE1916" s="13"/>
      <c r="AF1916" s="13"/>
      <c r="AG1916" s="13"/>
    </row>
    <row r="1917" spans="1:33" s="14" customFormat="1">
      <c r="A1917" s="10">
        <v>43257</v>
      </c>
      <c r="B1917" s="3" t="s">
        <v>139</v>
      </c>
      <c r="C1917" s="15" t="s">
        <v>47</v>
      </c>
      <c r="D1917" s="15">
        <v>2650</v>
      </c>
      <c r="E1917" s="11">
        <v>250</v>
      </c>
      <c r="F1917" s="3" t="s">
        <v>8</v>
      </c>
      <c r="G1917" s="46">
        <v>70</v>
      </c>
      <c r="H1917" s="3">
        <v>77</v>
      </c>
      <c r="I1917" s="46">
        <v>85</v>
      </c>
      <c r="J1917" s="55">
        <v>0</v>
      </c>
      <c r="K1917" s="1">
        <f t="shared" ref="K1917" si="2756">(IF(F1917="SELL",G1917-H1917,IF(F1917="BUY",H1917-G1917)))*E1917</f>
        <v>1750</v>
      </c>
      <c r="L1917" s="51">
        <f t="shared" ref="L1917" si="2757">(IF(F1917="SELL",IF(I1917="",0,H1917-I1917),IF(F1917="BUY",IF(I1917="",0,I1917-H1917))))*E1917</f>
        <v>2000</v>
      </c>
      <c r="M1917" s="52">
        <v>0</v>
      </c>
      <c r="N1917" s="2">
        <f t="shared" si="2706"/>
        <v>15</v>
      </c>
      <c r="O1917" s="2">
        <f t="shared" si="2721"/>
        <v>3750</v>
      </c>
      <c r="P1917" s="13"/>
      <c r="Q1917" s="13"/>
      <c r="R1917" s="13"/>
      <c r="S1917" s="13"/>
      <c r="T1917" s="13"/>
      <c r="U1917" s="13"/>
      <c r="V1917" s="13"/>
      <c r="W1917" s="13"/>
      <c r="X1917" s="13"/>
      <c r="Y1917" s="13"/>
      <c r="Z1917" s="13"/>
      <c r="AA1917" s="13"/>
      <c r="AB1917" s="13"/>
      <c r="AC1917" s="13"/>
      <c r="AD1917" s="13"/>
      <c r="AE1917" s="13"/>
      <c r="AF1917" s="13"/>
      <c r="AG1917" s="13"/>
    </row>
    <row r="1918" spans="1:33" s="14" customFormat="1">
      <c r="A1918" s="10">
        <v>43257</v>
      </c>
      <c r="B1918" s="3" t="s">
        <v>272</v>
      </c>
      <c r="C1918" s="15" t="s">
        <v>47</v>
      </c>
      <c r="D1918" s="15">
        <v>105</v>
      </c>
      <c r="E1918" s="11">
        <v>9000</v>
      </c>
      <c r="F1918" s="3" t="s">
        <v>8</v>
      </c>
      <c r="G1918" s="46">
        <v>2.8</v>
      </c>
      <c r="H1918" s="3">
        <v>3.1</v>
      </c>
      <c r="I1918" s="46">
        <v>0</v>
      </c>
      <c r="J1918" s="55">
        <v>0</v>
      </c>
      <c r="K1918" s="1">
        <f t="shared" ref="K1918" si="2758">(IF(F1918="SELL",G1918-H1918,IF(F1918="BUY",H1918-G1918)))*E1918</f>
        <v>2700.0000000000023</v>
      </c>
      <c r="L1918" s="51">
        <v>0</v>
      </c>
      <c r="M1918" s="52">
        <v>0</v>
      </c>
      <c r="N1918" s="2">
        <f t="shared" si="2706"/>
        <v>0.30000000000000027</v>
      </c>
      <c r="O1918" s="2">
        <f t="shared" si="2721"/>
        <v>2700.0000000000023</v>
      </c>
      <c r="P1918" s="13"/>
      <c r="Q1918" s="13"/>
      <c r="R1918" s="13"/>
      <c r="S1918" s="13"/>
      <c r="T1918" s="13"/>
      <c r="U1918" s="13"/>
      <c r="V1918" s="13"/>
      <c r="W1918" s="13"/>
      <c r="X1918" s="13"/>
      <c r="Y1918" s="13"/>
      <c r="Z1918" s="13"/>
      <c r="AA1918" s="13"/>
      <c r="AB1918" s="13"/>
      <c r="AC1918" s="13"/>
      <c r="AD1918" s="13"/>
      <c r="AE1918" s="13"/>
      <c r="AF1918" s="13"/>
      <c r="AG1918" s="13"/>
    </row>
    <row r="1919" spans="1:33" s="14" customFormat="1">
      <c r="A1919" s="10">
        <v>43257</v>
      </c>
      <c r="B1919" s="3" t="s">
        <v>316</v>
      </c>
      <c r="C1919" s="15" t="s">
        <v>47</v>
      </c>
      <c r="D1919" s="15">
        <v>290</v>
      </c>
      <c r="E1919" s="11">
        <v>1500</v>
      </c>
      <c r="F1919" s="3" t="s">
        <v>8</v>
      </c>
      <c r="G1919" s="46">
        <v>9.6999999999999993</v>
      </c>
      <c r="H1919" s="3">
        <v>11</v>
      </c>
      <c r="I1919" s="46">
        <v>13</v>
      </c>
      <c r="J1919" s="55">
        <v>0</v>
      </c>
      <c r="K1919" s="1">
        <f t="shared" ref="K1919" si="2759">(IF(F1919="SELL",G1919-H1919,IF(F1919="BUY",H1919-G1919)))*E1919</f>
        <v>1950.0000000000011</v>
      </c>
      <c r="L1919" s="51">
        <f t="shared" ref="L1919" si="2760">(IF(F1919="SELL",IF(I1919="",0,H1919-I1919),IF(F1919="BUY",IF(I1919="",0,I1919-H1919))))*E1919</f>
        <v>3000</v>
      </c>
      <c r="M1919" s="52">
        <v>0</v>
      </c>
      <c r="N1919" s="2">
        <f t="shared" si="2706"/>
        <v>3.3000000000000007</v>
      </c>
      <c r="O1919" s="2">
        <f t="shared" si="2721"/>
        <v>4950.0000000000009</v>
      </c>
      <c r="P1919" s="13"/>
      <c r="Q1919" s="13"/>
      <c r="R1919" s="13"/>
      <c r="S1919" s="13"/>
      <c r="T1919" s="13"/>
      <c r="U1919" s="13"/>
      <c r="V1919" s="13"/>
      <c r="W1919" s="13"/>
      <c r="X1919" s="13"/>
      <c r="Y1919" s="13"/>
      <c r="Z1919" s="13"/>
      <c r="AA1919" s="13"/>
      <c r="AB1919" s="13"/>
      <c r="AC1919" s="13"/>
      <c r="AD1919" s="13"/>
      <c r="AE1919" s="13"/>
      <c r="AF1919" s="13"/>
      <c r="AG1919" s="13"/>
    </row>
    <row r="1920" spans="1:33" s="14" customFormat="1">
      <c r="A1920" s="10">
        <v>43257</v>
      </c>
      <c r="B1920" s="3" t="s">
        <v>315</v>
      </c>
      <c r="C1920" s="15" t="s">
        <v>47</v>
      </c>
      <c r="D1920" s="15">
        <v>360</v>
      </c>
      <c r="E1920" s="11">
        <v>1250</v>
      </c>
      <c r="F1920" s="3" t="s">
        <v>8</v>
      </c>
      <c r="G1920" s="46">
        <v>14.4</v>
      </c>
      <c r="H1920" s="3">
        <v>15.4</v>
      </c>
      <c r="I1920" s="46">
        <v>17</v>
      </c>
      <c r="J1920" s="55">
        <v>0</v>
      </c>
      <c r="K1920" s="1">
        <f t="shared" ref="K1920" si="2761">(IF(F1920="SELL",G1920-H1920,IF(F1920="BUY",H1920-G1920)))*E1920</f>
        <v>1250</v>
      </c>
      <c r="L1920" s="51">
        <f t="shared" ref="L1920" si="2762">(IF(F1920="SELL",IF(I1920="",0,H1920-I1920),IF(F1920="BUY",IF(I1920="",0,I1920-H1920))))*E1920</f>
        <v>1999.9999999999995</v>
      </c>
      <c r="M1920" s="52">
        <v>0</v>
      </c>
      <c r="N1920" s="2">
        <f t="shared" si="2706"/>
        <v>2.5999999999999996</v>
      </c>
      <c r="O1920" s="2">
        <f t="shared" si="2721"/>
        <v>3249.9999999999995</v>
      </c>
      <c r="P1920" s="13"/>
      <c r="Q1920" s="13"/>
      <c r="R1920" s="13"/>
      <c r="S1920" s="13"/>
      <c r="T1920" s="13"/>
      <c r="U1920" s="13"/>
      <c r="V1920" s="13"/>
      <c r="W1920" s="13"/>
      <c r="X1920" s="13"/>
      <c r="Y1920" s="13"/>
      <c r="Z1920" s="13"/>
      <c r="AA1920" s="13"/>
      <c r="AB1920" s="13"/>
      <c r="AC1920" s="13"/>
      <c r="AD1920" s="13"/>
      <c r="AE1920" s="13"/>
      <c r="AF1920" s="13"/>
      <c r="AG1920" s="13"/>
    </row>
    <row r="1921" spans="1:33" s="14" customFormat="1">
      <c r="A1921" s="10">
        <v>43257</v>
      </c>
      <c r="B1921" s="3" t="s">
        <v>314</v>
      </c>
      <c r="C1921" s="15" t="s">
        <v>47</v>
      </c>
      <c r="D1921" s="15">
        <v>1350</v>
      </c>
      <c r="E1921" s="11">
        <v>500</v>
      </c>
      <c r="F1921" s="3" t="s">
        <v>8</v>
      </c>
      <c r="G1921" s="46">
        <v>33.700000000000003</v>
      </c>
      <c r="H1921" s="3">
        <v>36</v>
      </c>
      <c r="I1921" s="46">
        <v>0</v>
      </c>
      <c r="J1921" s="55">
        <v>0</v>
      </c>
      <c r="K1921" s="1">
        <f t="shared" ref="K1921" si="2763">(IF(F1921="SELL",G1921-H1921,IF(F1921="BUY",H1921-G1921)))*E1921</f>
        <v>1149.9999999999986</v>
      </c>
      <c r="L1921" s="51">
        <v>0</v>
      </c>
      <c r="M1921" s="52">
        <v>0</v>
      </c>
      <c r="N1921" s="2">
        <f t="shared" si="2706"/>
        <v>2.2999999999999972</v>
      </c>
      <c r="O1921" s="2">
        <f t="shared" si="2721"/>
        <v>1149.9999999999986</v>
      </c>
      <c r="P1921" s="13"/>
      <c r="Q1921" s="13"/>
      <c r="R1921" s="13"/>
      <c r="S1921" s="13"/>
      <c r="T1921" s="13"/>
      <c r="U1921" s="13"/>
      <c r="V1921" s="13"/>
      <c r="W1921" s="13"/>
      <c r="X1921" s="13"/>
      <c r="Y1921" s="13"/>
      <c r="Z1921" s="13"/>
      <c r="AA1921" s="13"/>
      <c r="AB1921" s="13"/>
      <c r="AC1921" s="13"/>
      <c r="AD1921" s="13"/>
      <c r="AE1921" s="13"/>
      <c r="AF1921" s="13"/>
      <c r="AG1921" s="13"/>
    </row>
    <row r="1922" spans="1:33" s="14" customFormat="1">
      <c r="A1922" s="10">
        <v>43256</v>
      </c>
      <c r="B1922" s="3" t="s">
        <v>253</v>
      </c>
      <c r="C1922" s="15" t="s">
        <v>46</v>
      </c>
      <c r="D1922" s="15">
        <v>980</v>
      </c>
      <c r="E1922" s="11">
        <v>1200</v>
      </c>
      <c r="F1922" s="3" t="s">
        <v>8</v>
      </c>
      <c r="G1922" s="46">
        <v>36.15</v>
      </c>
      <c r="H1922" s="3">
        <v>37.15</v>
      </c>
      <c r="I1922" s="46">
        <v>39.15</v>
      </c>
      <c r="J1922" s="55">
        <v>0</v>
      </c>
      <c r="K1922" s="1">
        <f t="shared" ref="K1922" si="2764">(IF(F1922="SELL",G1922-H1922,IF(F1922="BUY",H1922-G1922)))*E1922</f>
        <v>1200</v>
      </c>
      <c r="L1922" s="51">
        <f t="shared" ref="L1922" si="2765">(IF(F1922="SELL",IF(I1922="",0,H1922-I1922),IF(F1922="BUY",IF(I1922="",0,I1922-H1922))))*E1922</f>
        <v>2400</v>
      </c>
      <c r="M1922" s="52">
        <v>0</v>
      </c>
      <c r="N1922" s="2">
        <f t="shared" si="2706"/>
        <v>3</v>
      </c>
      <c r="O1922" s="2">
        <f t="shared" si="2721"/>
        <v>3600</v>
      </c>
      <c r="P1922" s="13"/>
      <c r="Q1922" s="13"/>
      <c r="R1922" s="13"/>
      <c r="S1922" s="13"/>
      <c r="T1922" s="13"/>
      <c r="U1922" s="13"/>
      <c r="V1922" s="13"/>
      <c r="W1922" s="13"/>
      <c r="X1922" s="13"/>
      <c r="Y1922" s="13"/>
      <c r="Z1922" s="13"/>
      <c r="AA1922" s="13"/>
      <c r="AB1922" s="13"/>
      <c r="AC1922" s="13"/>
      <c r="AD1922" s="13"/>
      <c r="AE1922" s="13"/>
      <c r="AF1922" s="13"/>
      <c r="AG1922" s="13"/>
    </row>
    <row r="1923" spans="1:33" s="14" customFormat="1">
      <c r="A1923" s="10">
        <v>43256</v>
      </c>
      <c r="B1923" s="3" t="s">
        <v>219</v>
      </c>
      <c r="C1923" s="15" t="s">
        <v>46</v>
      </c>
      <c r="D1923" s="15">
        <v>580</v>
      </c>
      <c r="E1923" s="11">
        <v>1500</v>
      </c>
      <c r="F1923" s="3" t="s">
        <v>8</v>
      </c>
      <c r="G1923" s="46">
        <v>29.3</v>
      </c>
      <c r="H1923" s="3">
        <v>30.3</v>
      </c>
      <c r="I1923" s="46">
        <v>0</v>
      </c>
      <c r="J1923" s="55">
        <v>0</v>
      </c>
      <c r="K1923" s="1">
        <f t="shared" ref="K1923" si="2766">(IF(F1923="SELL",G1923-H1923,IF(F1923="BUY",H1923-G1923)))*E1923</f>
        <v>1500</v>
      </c>
      <c r="L1923" s="51">
        <v>0</v>
      </c>
      <c r="M1923" s="52">
        <v>0</v>
      </c>
      <c r="N1923" s="2">
        <f t="shared" si="2706"/>
        <v>1</v>
      </c>
      <c r="O1923" s="2">
        <f t="shared" si="2721"/>
        <v>1500</v>
      </c>
      <c r="P1923" s="13"/>
      <c r="Q1923" s="13"/>
      <c r="R1923" s="13"/>
      <c r="S1923" s="13"/>
      <c r="T1923" s="13"/>
      <c r="U1923" s="13"/>
      <c r="V1923" s="13"/>
      <c r="W1923" s="13"/>
      <c r="X1923" s="13"/>
      <c r="Y1923" s="13"/>
      <c r="Z1923" s="13"/>
      <c r="AA1923" s="13"/>
      <c r="AB1923" s="13"/>
      <c r="AC1923" s="13"/>
      <c r="AD1923" s="13"/>
      <c r="AE1923" s="13"/>
      <c r="AF1923" s="13"/>
      <c r="AG1923" s="13"/>
    </row>
    <row r="1924" spans="1:33" s="14" customFormat="1">
      <c r="A1924" s="10">
        <v>43256</v>
      </c>
      <c r="B1924" s="3" t="s">
        <v>280</v>
      </c>
      <c r="C1924" s="15" t="s">
        <v>46</v>
      </c>
      <c r="D1924" s="15">
        <v>1350</v>
      </c>
      <c r="E1924" s="11">
        <v>600</v>
      </c>
      <c r="F1924" s="3" t="s">
        <v>8</v>
      </c>
      <c r="G1924" s="46">
        <v>33.15</v>
      </c>
      <c r="H1924" s="3">
        <v>36.15</v>
      </c>
      <c r="I1924" s="46">
        <v>0</v>
      </c>
      <c r="J1924" s="55">
        <v>0</v>
      </c>
      <c r="K1924" s="1">
        <f t="shared" ref="K1924" si="2767">(IF(F1924="SELL",G1924-H1924,IF(F1924="BUY",H1924-G1924)))*E1924</f>
        <v>1800</v>
      </c>
      <c r="L1924" s="51">
        <v>0</v>
      </c>
      <c r="M1924" s="52">
        <v>0</v>
      </c>
      <c r="N1924" s="2">
        <f t="shared" si="2706"/>
        <v>3</v>
      </c>
      <c r="O1924" s="2">
        <f t="shared" si="2721"/>
        <v>1800</v>
      </c>
      <c r="P1924" s="13"/>
      <c r="Q1924" s="13"/>
      <c r="R1924" s="13"/>
      <c r="S1924" s="13"/>
      <c r="T1924" s="13"/>
      <c r="U1924" s="13"/>
      <c r="V1924" s="13"/>
      <c r="W1924" s="13"/>
      <c r="X1924" s="13"/>
      <c r="Y1924" s="13"/>
      <c r="Z1924" s="13"/>
      <c r="AA1924" s="13"/>
      <c r="AB1924" s="13"/>
      <c r="AC1924" s="13"/>
      <c r="AD1924" s="13"/>
      <c r="AE1924" s="13"/>
      <c r="AF1924" s="13"/>
      <c r="AG1924" s="13"/>
    </row>
    <row r="1925" spans="1:33" s="14" customFormat="1">
      <c r="A1925" s="10">
        <v>43255</v>
      </c>
      <c r="B1925" s="3" t="s">
        <v>277</v>
      </c>
      <c r="C1925" s="15" t="s">
        <v>47</v>
      </c>
      <c r="D1925" s="15">
        <v>170</v>
      </c>
      <c r="E1925" s="11">
        <v>4500</v>
      </c>
      <c r="F1925" s="3" t="s">
        <v>8</v>
      </c>
      <c r="G1925" s="46">
        <v>3.9</v>
      </c>
      <c r="H1925" s="3">
        <v>4.4000000000000004</v>
      </c>
      <c r="I1925" s="46">
        <v>0</v>
      </c>
      <c r="J1925" s="55">
        <v>0</v>
      </c>
      <c r="K1925" s="1">
        <f t="shared" ref="K1925" si="2768">(IF(F1925="SELL",G1925-H1925,IF(F1925="BUY",H1925-G1925)))*E1925</f>
        <v>2250.0000000000018</v>
      </c>
      <c r="L1925" s="51">
        <v>0</v>
      </c>
      <c r="M1925" s="52">
        <v>0</v>
      </c>
      <c r="N1925" s="2">
        <f t="shared" si="2706"/>
        <v>0.50000000000000044</v>
      </c>
      <c r="O1925" s="2">
        <f t="shared" si="2721"/>
        <v>2250.0000000000018</v>
      </c>
      <c r="P1925" s="13"/>
      <c r="Q1925" s="13"/>
      <c r="R1925" s="13"/>
      <c r="S1925" s="13"/>
      <c r="T1925" s="13"/>
      <c r="U1925" s="13"/>
      <c r="V1925" s="13"/>
      <c r="W1925" s="13"/>
      <c r="X1925" s="13"/>
      <c r="Y1925" s="13"/>
      <c r="Z1925" s="13"/>
      <c r="AA1925" s="13"/>
      <c r="AB1925" s="13"/>
      <c r="AC1925" s="13"/>
      <c r="AD1925" s="13"/>
      <c r="AE1925" s="13"/>
      <c r="AF1925" s="13"/>
      <c r="AG1925" s="13"/>
    </row>
    <row r="1926" spans="1:33" s="14" customFormat="1">
      <c r="A1926" s="10">
        <v>43255</v>
      </c>
      <c r="B1926" s="3" t="s">
        <v>166</v>
      </c>
      <c r="C1926" s="15" t="s">
        <v>47</v>
      </c>
      <c r="D1926" s="15">
        <v>245</v>
      </c>
      <c r="E1926" s="11">
        <v>3500</v>
      </c>
      <c r="F1926" s="3" t="s">
        <v>8</v>
      </c>
      <c r="G1926" s="46">
        <v>7.5</v>
      </c>
      <c r="H1926" s="3">
        <v>0</v>
      </c>
      <c r="I1926" s="46">
        <v>0</v>
      </c>
      <c r="J1926" s="55">
        <v>0</v>
      </c>
      <c r="K1926" s="1">
        <v>0</v>
      </c>
      <c r="L1926" s="51">
        <f t="shared" ref="L1926" si="2769">(IF(F1926="SELL",IF(I1926="",0,H1926-I1926),IF(F1926="BUY",IF(I1926="",0,I1926-H1926))))*E1926</f>
        <v>0</v>
      </c>
      <c r="M1926" s="52">
        <v>0</v>
      </c>
      <c r="N1926" s="2">
        <f t="shared" si="2706"/>
        <v>0</v>
      </c>
      <c r="O1926" s="2">
        <f t="shared" si="2721"/>
        <v>0</v>
      </c>
      <c r="P1926" s="13"/>
      <c r="Q1926" s="13"/>
      <c r="R1926" s="13"/>
      <c r="S1926" s="13"/>
      <c r="T1926" s="13"/>
      <c r="U1926" s="13"/>
      <c r="V1926" s="13"/>
      <c r="W1926" s="13"/>
      <c r="X1926" s="13"/>
      <c r="Y1926" s="13"/>
      <c r="Z1926" s="13"/>
      <c r="AA1926" s="13"/>
      <c r="AB1926" s="13"/>
      <c r="AC1926" s="13"/>
      <c r="AD1926" s="13"/>
      <c r="AE1926" s="13"/>
      <c r="AF1926" s="13"/>
      <c r="AG1926" s="13"/>
    </row>
    <row r="1927" spans="1:33" s="14" customFormat="1">
      <c r="A1927" s="10">
        <v>43255</v>
      </c>
      <c r="B1927" s="3" t="s">
        <v>300</v>
      </c>
      <c r="C1927" s="15" t="s">
        <v>47</v>
      </c>
      <c r="D1927" s="15">
        <v>480</v>
      </c>
      <c r="E1927" s="11">
        <v>1250</v>
      </c>
      <c r="F1927" s="3" t="s">
        <v>8</v>
      </c>
      <c r="G1927" s="46">
        <v>18</v>
      </c>
      <c r="H1927" s="3">
        <v>0</v>
      </c>
      <c r="I1927" s="46">
        <v>0</v>
      </c>
      <c r="J1927" s="55">
        <v>0</v>
      </c>
      <c r="K1927" s="1">
        <v>0</v>
      </c>
      <c r="L1927" s="51">
        <f t="shared" ref="L1927" si="2770">(IF(F1927="SELL",IF(I1927="",0,H1927-I1927),IF(F1927="BUY",IF(I1927="",0,I1927-H1927))))*E1927</f>
        <v>0</v>
      </c>
      <c r="M1927" s="52">
        <v>0</v>
      </c>
      <c r="N1927" s="2">
        <f t="shared" si="2706"/>
        <v>0</v>
      </c>
      <c r="O1927" s="2">
        <f t="shared" si="2721"/>
        <v>0</v>
      </c>
      <c r="P1927" s="13"/>
      <c r="Q1927" s="13"/>
      <c r="R1927" s="13"/>
      <c r="S1927" s="13"/>
      <c r="T1927" s="13"/>
      <c r="U1927" s="13"/>
      <c r="V1927" s="13"/>
      <c r="W1927" s="13"/>
      <c r="X1927" s="13"/>
      <c r="Y1927" s="13"/>
      <c r="Z1927" s="13"/>
      <c r="AA1927" s="13"/>
      <c r="AB1927" s="13"/>
      <c r="AC1927" s="13"/>
      <c r="AD1927" s="13"/>
      <c r="AE1927" s="13"/>
      <c r="AF1927" s="13"/>
      <c r="AG1927" s="13"/>
    </row>
    <row r="1928" spans="1:33" s="14" customFormat="1">
      <c r="A1928" s="10">
        <v>43252</v>
      </c>
      <c r="B1928" s="3" t="s">
        <v>314</v>
      </c>
      <c r="C1928" s="15" t="s">
        <v>47</v>
      </c>
      <c r="D1928" s="15">
        <v>1850</v>
      </c>
      <c r="E1928" s="11">
        <v>500</v>
      </c>
      <c r="F1928" s="3" t="s">
        <v>8</v>
      </c>
      <c r="G1928" s="46">
        <v>38</v>
      </c>
      <c r="H1928" s="3">
        <v>42</v>
      </c>
      <c r="I1928" s="46">
        <v>0</v>
      </c>
      <c r="J1928" s="55">
        <v>0</v>
      </c>
      <c r="K1928" s="1">
        <f t="shared" ref="K1928" si="2771">(IF(F1928="SELL",G1928-H1928,IF(F1928="BUY",H1928-G1928)))*E1928</f>
        <v>2000</v>
      </c>
      <c r="L1928" s="51">
        <v>0</v>
      </c>
      <c r="M1928" s="52">
        <v>0</v>
      </c>
      <c r="N1928" s="2">
        <f t="shared" si="2706"/>
        <v>4</v>
      </c>
      <c r="O1928" s="2">
        <f t="shared" si="2721"/>
        <v>2000</v>
      </c>
      <c r="P1928" s="13"/>
      <c r="Q1928" s="13"/>
      <c r="R1928" s="13"/>
      <c r="S1928" s="13"/>
      <c r="T1928" s="13"/>
      <c r="U1928" s="13"/>
      <c r="V1928" s="13"/>
      <c r="W1928" s="13"/>
      <c r="X1928" s="13"/>
      <c r="Y1928" s="13"/>
      <c r="Z1928" s="13"/>
      <c r="AA1928" s="13"/>
      <c r="AB1928" s="13"/>
      <c r="AC1928" s="13"/>
      <c r="AD1928" s="13"/>
      <c r="AE1928" s="13"/>
      <c r="AF1928" s="13"/>
      <c r="AG1928" s="13"/>
    </row>
    <row r="1929" spans="1:33" s="14" customFormat="1">
      <c r="A1929" s="10">
        <v>43252</v>
      </c>
      <c r="B1929" s="3" t="s">
        <v>313</v>
      </c>
      <c r="C1929" s="15" t="s">
        <v>47</v>
      </c>
      <c r="D1929" s="15">
        <v>125</v>
      </c>
      <c r="E1929" s="11">
        <v>6000</v>
      </c>
      <c r="F1929" s="3" t="s">
        <v>8</v>
      </c>
      <c r="G1929" s="46">
        <v>2.75</v>
      </c>
      <c r="H1929" s="3">
        <v>3</v>
      </c>
      <c r="I1929" s="46">
        <v>3.25</v>
      </c>
      <c r="J1929" s="55">
        <v>0</v>
      </c>
      <c r="K1929" s="1">
        <f t="shared" ref="K1929" si="2772">(IF(F1929="SELL",G1929-H1929,IF(F1929="BUY",H1929-G1929)))*E1929</f>
        <v>1500</v>
      </c>
      <c r="L1929" s="51">
        <f t="shared" ref="L1929" si="2773">(IF(F1929="SELL",IF(I1929="",0,H1929-I1929),IF(F1929="BUY",IF(I1929="",0,I1929-H1929))))*E1929</f>
        <v>1500</v>
      </c>
      <c r="M1929" s="52">
        <v>0</v>
      </c>
      <c r="N1929" s="2">
        <f t="shared" si="2706"/>
        <v>0.5</v>
      </c>
      <c r="O1929" s="2">
        <f t="shared" si="2721"/>
        <v>3000</v>
      </c>
      <c r="P1929" s="13"/>
      <c r="Q1929" s="13"/>
      <c r="R1929" s="13"/>
      <c r="S1929" s="13"/>
      <c r="T1929" s="13"/>
      <c r="U1929" s="13"/>
      <c r="V1929" s="13"/>
      <c r="W1929" s="13"/>
      <c r="X1929" s="13"/>
      <c r="Y1929" s="13"/>
      <c r="Z1929" s="13"/>
      <c r="AA1929" s="13"/>
      <c r="AB1929" s="13"/>
      <c r="AC1929" s="13"/>
      <c r="AD1929" s="13"/>
      <c r="AE1929" s="13"/>
      <c r="AF1929" s="13"/>
      <c r="AG1929" s="13"/>
    </row>
    <row r="1930" spans="1:33" s="14" customFormat="1">
      <c r="A1930" s="10">
        <v>43252</v>
      </c>
      <c r="B1930" s="3" t="s">
        <v>312</v>
      </c>
      <c r="C1930" s="15" t="s">
        <v>47</v>
      </c>
      <c r="D1930" s="15">
        <v>410</v>
      </c>
      <c r="E1930" s="11">
        <v>1600</v>
      </c>
      <c r="F1930" s="3" t="s">
        <v>8</v>
      </c>
      <c r="G1930" s="46">
        <v>10</v>
      </c>
      <c r="H1930" s="3">
        <v>11</v>
      </c>
      <c r="I1930" s="46">
        <v>0</v>
      </c>
      <c r="J1930" s="55">
        <v>0</v>
      </c>
      <c r="K1930" s="1">
        <f t="shared" ref="K1930" si="2774">(IF(F1930="SELL",G1930-H1930,IF(F1930="BUY",H1930-G1930)))*E1930</f>
        <v>1600</v>
      </c>
      <c r="L1930" s="51">
        <v>0</v>
      </c>
      <c r="M1930" s="52">
        <v>0</v>
      </c>
      <c r="N1930" s="2">
        <f t="shared" si="2706"/>
        <v>1</v>
      </c>
      <c r="O1930" s="2">
        <f t="shared" si="2721"/>
        <v>1600</v>
      </c>
      <c r="P1930" s="13"/>
      <c r="Q1930" s="13"/>
      <c r="R1930" s="13"/>
      <c r="S1930" s="13"/>
      <c r="T1930" s="13"/>
      <c r="U1930" s="13"/>
      <c r="V1930" s="13"/>
      <c r="W1930" s="13"/>
      <c r="X1930" s="13"/>
      <c r="Y1930" s="13"/>
      <c r="Z1930" s="13"/>
      <c r="AA1930" s="13"/>
      <c r="AB1930" s="13"/>
      <c r="AC1930" s="13"/>
      <c r="AD1930" s="13"/>
      <c r="AE1930" s="13"/>
      <c r="AF1930" s="13"/>
      <c r="AG1930" s="13"/>
    </row>
    <row r="1931" spans="1:33" s="14" customFormat="1">
      <c r="A1931" s="10">
        <v>43251</v>
      </c>
      <c r="B1931" s="3" t="s">
        <v>311</v>
      </c>
      <c r="C1931" s="15" t="s">
        <v>47</v>
      </c>
      <c r="D1931" s="15">
        <v>1340</v>
      </c>
      <c r="E1931" s="11">
        <v>400</v>
      </c>
      <c r="F1931" s="3" t="s">
        <v>8</v>
      </c>
      <c r="G1931" s="46">
        <v>6.15</v>
      </c>
      <c r="H1931" s="3">
        <v>9.15</v>
      </c>
      <c r="I1931" s="46">
        <v>14</v>
      </c>
      <c r="J1931" s="55">
        <v>19.649999999999999</v>
      </c>
      <c r="K1931" s="1">
        <f t="shared" ref="K1931" si="2775">(IF(F1931="SELL",G1931-H1931,IF(F1931="BUY",H1931-G1931)))*E1931</f>
        <v>1200</v>
      </c>
      <c r="L1931" s="51">
        <f t="shared" ref="L1931" si="2776">(IF(F1931="SELL",IF(I1931="",0,H1931-I1931),IF(F1931="BUY",IF(I1931="",0,I1931-H1931))))*E1931</f>
        <v>1939.9999999999998</v>
      </c>
      <c r="M1931" s="52">
        <v>2260</v>
      </c>
      <c r="N1931" s="2">
        <f t="shared" si="2706"/>
        <v>13.5</v>
      </c>
      <c r="O1931" s="2">
        <f t="shared" si="2721"/>
        <v>5400</v>
      </c>
      <c r="P1931" s="13"/>
      <c r="Q1931" s="13"/>
      <c r="R1931" s="13"/>
      <c r="S1931" s="13"/>
      <c r="T1931" s="13"/>
      <c r="U1931" s="13"/>
      <c r="V1931" s="13"/>
      <c r="W1931" s="13"/>
      <c r="X1931" s="13"/>
      <c r="Y1931" s="13"/>
      <c r="Z1931" s="13"/>
      <c r="AA1931" s="13"/>
      <c r="AB1931" s="13"/>
      <c r="AC1931" s="13"/>
      <c r="AD1931" s="13"/>
      <c r="AE1931" s="13"/>
      <c r="AF1931" s="13"/>
      <c r="AG1931" s="13"/>
    </row>
    <row r="1932" spans="1:33" s="14" customFormat="1">
      <c r="A1932" s="10">
        <v>43250</v>
      </c>
      <c r="B1932" s="3" t="s">
        <v>310</v>
      </c>
      <c r="C1932" s="15" t="s">
        <v>47</v>
      </c>
      <c r="D1932" s="15">
        <v>165</v>
      </c>
      <c r="E1932" s="11">
        <v>4000</v>
      </c>
      <c r="F1932" s="3" t="s">
        <v>8</v>
      </c>
      <c r="G1932" s="46">
        <v>2.1</v>
      </c>
      <c r="H1932" s="3">
        <v>2.5</v>
      </c>
      <c r="I1932" s="46">
        <v>3.5</v>
      </c>
      <c r="J1932" s="55">
        <v>0</v>
      </c>
      <c r="K1932" s="1">
        <f t="shared" ref="K1932" si="2777">(IF(F1932="SELL",G1932-H1932,IF(F1932="BUY",H1932-G1932)))*E1932</f>
        <v>1599.9999999999995</v>
      </c>
      <c r="L1932" s="51">
        <f t="shared" ref="L1932" si="2778">(IF(F1932="SELL",IF(I1932="",0,H1932-I1932),IF(F1932="BUY",IF(I1932="",0,I1932-H1932))))*E1932</f>
        <v>4000</v>
      </c>
      <c r="M1932" s="52">
        <v>0</v>
      </c>
      <c r="N1932" s="2">
        <f t="shared" si="2706"/>
        <v>1.4</v>
      </c>
      <c r="O1932" s="2">
        <f t="shared" si="2721"/>
        <v>5600</v>
      </c>
      <c r="P1932" s="13"/>
      <c r="Q1932" s="13"/>
      <c r="R1932" s="13"/>
      <c r="S1932" s="13"/>
      <c r="T1932" s="13"/>
      <c r="U1932" s="13"/>
      <c r="V1932" s="13"/>
      <c r="W1932" s="13"/>
      <c r="X1932" s="13"/>
      <c r="Y1932" s="13"/>
      <c r="Z1932" s="13"/>
      <c r="AA1932" s="13"/>
      <c r="AB1932" s="13"/>
      <c r="AC1932" s="13"/>
      <c r="AD1932" s="13"/>
      <c r="AE1932" s="13"/>
      <c r="AF1932" s="13"/>
      <c r="AG1932" s="13"/>
    </row>
    <row r="1933" spans="1:33" s="14" customFormat="1">
      <c r="A1933" s="10">
        <v>43250</v>
      </c>
      <c r="B1933" s="3" t="s">
        <v>96</v>
      </c>
      <c r="C1933" s="15" t="s">
        <v>47</v>
      </c>
      <c r="D1933" s="15">
        <v>890</v>
      </c>
      <c r="E1933" s="11">
        <v>1000</v>
      </c>
      <c r="F1933" s="3" t="s">
        <v>8</v>
      </c>
      <c r="G1933" s="46">
        <v>8.5</v>
      </c>
      <c r="H1933" s="3">
        <v>10</v>
      </c>
      <c r="I1933" s="46">
        <v>13.2</v>
      </c>
      <c r="J1933" s="55">
        <v>0</v>
      </c>
      <c r="K1933" s="1">
        <f t="shared" ref="K1933" si="2779">(IF(F1933="SELL",G1933-H1933,IF(F1933="BUY",H1933-G1933)))*E1933</f>
        <v>1500</v>
      </c>
      <c r="L1933" s="51">
        <f t="shared" ref="L1933" si="2780">(IF(F1933="SELL",IF(I1933="",0,H1933-I1933),IF(F1933="BUY",IF(I1933="",0,I1933-H1933))))*E1933</f>
        <v>3199.9999999999991</v>
      </c>
      <c r="M1933" s="52">
        <v>0</v>
      </c>
      <c r="N1933" s="2">
        <f t="shared" si="2706"/>
        <v>4.6999999999999993</v>
      </c>
      <c r="O1933" s="2">
        <f t="shared" si="2721"/>
        <v>4699.9999999999991</v>
      </c>
      <c r="P1933" s="13"/>
      <c r="Q1933" s="13"/>
      <c r="R1933" s="13"/>
      <c r="S1933" s="13"/>
      <c r="T1933" s="13"/>
      <c r="U1933" s="13"/>
      <c r="V1933" s="13"/>
      <c r="W1933" s="13"/>
      <c r="X1933" s="13"/>
      <c r="Y1933" s="13"/>
      <c r="Z1933" s="13"/>
      <c r="AA1933" s="13"/>
      <c r="AB1933" s="13"/>
      <c r="AC1933" s="13"/>
      <c r="AD1933" s="13"/>
      <c r="AE1933" s="13"/>
      <c r="AF1933" s="13"/>
      <c r="AG1933" s="13"/>
    </row>
    <row r="1934" spans="1:33" s="14" customFormat="1">
      <c r="A1934" s="10">
        <v>43249</v>
      </c>
      <c r="B1934" s="3" t="s">
        <v>309</v>
      </c>
      <c r="C1934" s="15" t="s">
        <v>47</v>
      </c>
      <c r="D1934" s="15">
        <v>1950</v>
      </c>
      <c r="E1934" s="11">
        <v>500</v>
      </c>
      <c r="F1934" s="3" t="s">
        <v>8</v>
      </c>
      <c r="G1934" s="46">
        <v>40</v>
      </c>
      <c r="H1934" s="3">
        <v>30</v>
      </c>
      <c r="I1934" s="46">
        <v>0</v>
      </c>
      <c r="J1934" s="55">
        <v>0</v>
      </c>
      <c r="K1934" s="1">
        <f t="shared" ref="K1934" si="2781">(IF(F1934="SELL",G1934-H1934,IF(F1934="BUY",H1934-G1934)))*E1934</f>
        <v>-5000</v>
      </c>
      <c r="L1934" s="51">
        <v>0</v>
      </c>
      <c r="M1934" s="52">
        <v>0</v>
      </c>
      <c r="N1934" s="2">
        <f t="shared" si="2706"/>
        <v>-10</v>
      </c>
      <c r="O1934" s="2">
        <f t="shared" si="2721"/>
        <v>-5000</v>
      </c>
      <c r="P1934" s="13"/>
      <c r="Q1934" s="13"/>
      <c r="R1934" s="13"/>
      <c r="S1934" s="13"/>
      <c r="T1934" s="13"/>
      <c r="U1934" s="13"/>
      <c r="V1934" s="13"/>
      <c r="W1934" s="13"/>
      <c r="X1934" s="13"/>
      <c r="Y1934" s="13"/>
      <c r="Z1934" s="13"/>
      <c r="AA1934" s="13"/>
      <c r="AB1934" s="13"/>
      <c r="AC1934" s="13"/>
      <c r="AD1934" s="13"/>
      <c r="AE1934" s="13"/>
      <c r="AF1934" s="13"/>
      <c r="AG1934" s="13"/>
    </row>
    <row r="1935" spans="1:33" s="14" customFormat="1">
      <c r="A1935" s="10">
        <v>43248</v>
      </c>
      <c r="B1935" s="3" t="s">
        <v>308</v>
      </c>
      <c r="C1935" s="15" t="s">
        <v>47</v>
      </c>
      <c r="D1935" s="15">
        <v>1050</v>
      </c>
      <c r="E1935" s="11">
        <v>500</v>
      </c>
      <c r="F1935" s="3" t="s">
        <v>8</v>
      </c>
      <c r="G1935" s="46">
        <v>10</v>
      </c>
      <c r="H1935" s="3">
        <v>12</v>
      </c>
      <c r="I1935" s="46">
        <v>15</v>
      </c>
      <c r="J1935" s="55">
        <v>20</v>
      </c>
      <c r="K1935" s="1">
        <f t="shared" ref="K1935" si="2782">(IF(F1935="SELL",G1935-H1935,IF(F1935="BUY",H1935-G1935)))*E1935</f>
        <v>1000</v>
      </c>
      <c r="L1935" s="51">
        <f t="shared" ref="L1935" si="2783">(IF(F1935="SELL",IF(I1935="",0,H1935-I1935),IF(F1935="BUY",IF(I1935="",0,I1935-H1935))))*E1935</f>
        <v>1500</v>
      </c>
      <c r="M1935" s="52">
        <v>3000</v>
      </c>
      <c r="N1935" s="2">
        <f t="shared" si="2706"/>
        <v>11</v>
      </c>
      <c r="O1935" s="2">
        <f t="shared" si="2721"/>
        <v>5500</v>
      </c>
      <c r="P1935" s="13"/>
      <c r="Q1935" s="13"/>
      <c r="R1935" s="13"/>
      <c r="S1935" s="13"/>
      <c r="T1935" s="13"/>
      <c r="U1935" s="13"/>
      <c r="V1935" s="13"/>
      <c r="W1935" s="13"/>
      <c r="X1935" s="13"/>
      <c r="Y1935" s="13"/>
      <c r="Z1935" s="13"/>
      <c r="AA1935" s="13"/>
      <c r="AB1935" s="13"/>
      <c r="AC1935" s="13"/>
      <c r="AD1935" s="13"/>
      <c r="AE1935" s="13"/>
      <c r="AF1935" s="13"/>
      <c r="AG1935" s="13"/>
    </row>
    <row r="1936" spans="1:33" s="14" customFormat="1">
      <c r="A1936" s="10">
        <v>43248</v>
      </c>
      <c r="B1936" s="3" t="s">
        <v>307</v>
      </c>
      <c r="C1936" s="15" t="s">
        <v>47</v>
      </c>
      <c r="D1936" s="15">
        <v>390</v>
      </c>
      <c r="E1936" s="11">
        <v>1600</v>
      </c>
      <c r="F1936" s="3" t="s">
        <v>8</v>
      </c>
      <c r="G1936" s="46">
        <v>8.5</v>
      </c>
      <c r="H1936" s="3">
        <v>9.5</v>
      </c>
      <c r="I1936" s="46">
        <v>11</v>
      </c>
      <c r="J1936" s="55">
        <v>0</v>
      </c>
      <c r="K1936" s="1">
        <f t="shared" ref="K1936" si="2784">(IF(F1936="SELL",G1936-H1936,IF(F1936="BUY",H1936-G1936)))*E1936</f>
        <v>1600</v>
      </c>
      <c r="L1936" s="51">
        <f t="shared" ref="L1936" si="2785">(IF(F1936="SELL",IF(I1936="",0,H1936-I1936),IF(F1936="BUY",IF(I1936="",0,I1936-H1936))))*E1936</f>
        <v>2400</v>
      </c>
      <c r="M1936" s="52">
        <v>0</v>
      </c>
      <c r="N1936" s="2">
        <f t="shared" si="2706"/>
        <v>2.5</v>
      </c>
      <c r="O1936" s="2">
        <f t="shared" si="2721"/>
        <v>4000</v>
      </c>
      <c r="P1936" s="13"/>
      <c r="Q1936" s="13"/>
      <c r="R1936" s="13"/>
      <c r="S1936" s="13"/>
      <c r="T1936" s="13"/>
      <c r="U1936" s="13"/>
      <c r="V1936" s="13"/>
      <c r="W1936" s="13"/>
      <c r="X1936" s="13"/>
      <c r="Y1936" s="13"/>
      <c r="Z1936" s="13"/>
      <c r="AA1936" s="13"/>
      <c r="AB1936" s="13"/>
      <c r="AC1936" s="13"/>
      <c r="AD1936" s="13"/>
      <c r="AE1936" s="13"/>
      <c r="AF1936" s="13"/>
      <c r="AG1936" s="13"/>
    </row>
    <row r="1937" spans="1:33" s="14" customFormat="1">
      <c r="A1937" s="10">
        <v>43245</v>
      </c>
      <c r="B1937" s="3" t="s">
        <v>211</v>
      </c>
      <c r="C1937" s="15" t="s">
        <v>47</v>
      </c>
      <c r="D1937" s="15">
        <v>1120</v>
      </c>
      <c r="E1937" s="11">
        <v>750</v>
      </c>
      <c r="F1937" s="3" t="s">
        <v>8</v>
      </c>
      <c r="G1937" s="46">
        <v>26</v>
      </c>
      <c r="H1937" s="3">
        <v>28</v>
      </c>
      <c r="I1937" s="46">
        <v>31</v>
      </c>
      <c r="J1937" s="55">
        <v>35</v>
      </c>
      <c r="K1937" s="1">
        <f t="shared" ref="K1937" si="2786">(IF(F1937="SELL",G1937-H1937,IF(F1937="BUY",H1937-G1937)))*E1937</f>
        <v>1500</v>
      </c>
      <c r="L1937" s="51">
        <f t="shared" ref="L1937" si="2787">(IF(F1937="SELL",IF(I1937="",0,H1937-I1937),IF(F1937="BUY",IF(I1937="",0,I1937-H1937))))*E1937</f>
        <v>2250</v>
      </c>
      <c r="M1937" s="52">
        <v>3000</v>
      </c>
      <c r="N1937" s="2">
        <f t="shared" si="2706"/>
        <v>9</v>
      </c>
      <c r="O1937" s="2">
        <f t="shared" si="2721"/>
        <v>6750</v>
      </c>
      <c r="P1937" s="13"/>
      <c r="Q1937" s="13"/>
      <c r="R1937" s="13"/>
      <c r="S1937" s="13"/>
      <c r="T1937" s="13"/>
      <c r="U1937" s="13"/>
      <c r="V1937" s="13"/>
      <c r="W1937" s="13"/>
      <c r="X1937" s="13"/>
      <c r="Y1937" s="13"/>
      <c r="Z1937" s="13"/>
      <c r="AA1937" s="13"/>
      <c r="AB1937" s="13"/>
      <c r="AC1937" s="13"/>
      <c r="AD1937" s="13"/>
      <c r="AE1937" s="13"/>
      <c r="AF1937" s="13"/>
      <c r="AG1937" s="13"/>
    </row>
    <row r="1938" spans="1:33" s="14" customFormat="1">
      <c r="A1938" s="10">
        <v>43245</v>
      </c>
      <c r="B1938" s="3" t="s">
        <v>141</v>
      </c>
      <c r="C1938" s="15" t="s">
        <v>47</v>
      </c>
      <c r="D1938" s="15">
        <v>320</v>
      </c>
      <c r="E1938" s="11">
        <v>3000</v>
      </c>
      <c r="F1938" s="3" t="s">
        <v>8</v>
      </c>
      <c r="G1938" s="46">
        <v>5.5</v>
      </c>
      <c r="H1938" s="3">
        <v>6</v>
      </c>
      <c r="I1938" s="46">
        <v>7</v>
      </c>
      <c r="J1938" s="55">
        <v>8</v>
      </c>
      <c r="K1938" s="1">
        <f t="shared" ref="K1938" si="2788">(IF(F1938="SELL",G1938-H1938,IF(F1938="BUY",H1938-G1938)))*E1938</f>
        <v>1500</v>
      </c>
      <c r="L1938" s="51">
        <f t="shared" ref="L1938" si="2789">(IF(F1938="SELL",IF(I1938="",0,H1938-I1938),IF(F1938="BUY",IF(I1938="",0,I1938-H1938))))*E1938</f>
        <v>3000</v>
      </c>
      <c r="M1938" s="52">
        <v>3000</v>
      </c>
      <c r="N1938" s="2">
        <f t="shared" si="2706"/>
        <v>2.5</v>
      </c>
      <c r="O1938" s="2">
        <f t="shared" si="2721"/>
        <v>7500</v>
      </c>
      <c r="P1938" s="13"/>
      <c r="Q1938" s="13"/>
      <c r="R1938" s="13"/>
      <c r="S1938" s="13"/>
      <c r="T1938" s="13"/>
      <c r="U1938" s="13"/>
      <c r="V1938" s="13"/>
      <c r="W1938" s="13"/>
      <c r="X1938" s="13"/>
      <c r="Y1938" s="13"/>
      <c r="Z1938" s="13"/>
      <c r="AA1938" s="13"/>
      <c r="AB1938" s="13"/>
      <c r="AC1938" s="13"/>
      <c r="AD1938" s="13"/>
      <c r="AE1938" s="13"/>
      <c r="AF1938" s="13"/>
      <c r="AG1938" s="13"/>
    </row>
    <row r="1939" spans="1:33" s="14" customFormat="1">
      <c r="A1939" s="10">
        <v>43244</v>
      </c>
      <c r="B1939" s="3" t="s">
        <v>306</v>
      </c>
      <c r="C1939" s="15" t="s">
        <v>47</v>
      </c>
      <c r="D1939" s="15">
        <v>75</v>
      </c>
      <c r="E1939" s="11">
        <v>6000</v>
      </c>
      <c r="F1939" s="3" t="s">
        <v>8</v>
      </c>
      <c r="G1939" s="46">
        <v>2.5</v>
      </c>
      <c r="H1939" s="3">
        <v>2.8</v>
      </c>
      <c r="I1939" s="46">
        <v>3.5</v>
      </c>
      <c r="J1939" s="55">
        <v>0</v>
      </c>
      <c r="K1939" s="1">
        <f t="shared" ref="K1939" si="2790">(IF(F1939="SELL",G1939-H1939,IF(F1939="BUY",H1939-G1939)))*E1939</f>
        <v>1799.9999999999989</v>
      </c>
      <c r="L1939" s="51">
        <f t="shared" ref="L1939" si="2791">(IF(F1939="SELL",IF(I1939="",0,H1939-I1939),IF(F1939="BUY",IF(I1939="",0,I1939-H1939))))*E1939</f>
        <v>4200.0000000000009</v>
      </c>
      <c r="M1939" s="52">
        <v>0</v>
      </c>
      <c r="N1939" s="2">
        <f t="shared" si="2706"/>
        <v>1</v>
      </c>
      <c r="O1939" s="2">
        <f t="shared" si="2721"/>
        <v>6000</v>
      </c>
      <c r="P1939" s="13"/>
      <c r="Q1939" s="13"/>
      <c r="R1939" s="13"/>
      <c r="S1939" s="13"/>
      <c r="T1939" s="13"/>
      <c r="U1939" s="13"/>
      <c r="V1939" s="13"/>
      <c r="W1939" s="13"/>
      <c r="X1939" s="13"/>
      <c r="Y1939" s="13"/>
      <c r="Z1939" s="13"/>
      <c r="AA1939" s="13"/>
      <c r="AB1939" s="13"/>
      <c r="AC1939" s="13"/>
      <c r="AD1939" s="13"/>
      <c r="AE1939" s="13"/>
      <c r="AF1939" s="13"/>
      <c r="AG1939" s="13"/>
    </row>
    <row r="1940" spans="1:33" s="14" customFormat="1">
      <c r="A1940" s="10">
        <v>43244</v>
      </c>
      <c r="B1940" s="3" t="s">
        <v>196</v>
      </c>
      <c r="C1940" s="15" t="s">
        <v>47</v>
      </c>
      <c r="D1940" s="15">
        <v>710</v>
      </c>
      <c r="E1940" s="11">
        <v>1200</v>
      </c>
      <c r="F1940" s="3" t="s">
        <v>8</v>
      </c>
      <c r="G1940" s="46">
        <v>19.3</v>
      </c>
      <c r="H1940" s="3">
        <v>20.5</v>
      </c>
      <c r="I1940" s="46">
        <v>0</v>
      </c>
      <c r="J1940" s="55">
        <v>0</v>
      </c>
      <c r="K1940" s="1">
        <f t="shared" ref="K1940" si="2792">(IF(F1940="SELL",G1940-H1940,IF(F1940="BUY",H1940-G1940)))*E1940</f>
        <v>1439.9999999999991</v>
      </c>
      <c r="L1940" s="51">
        <v>0</v>
      </c>
      <c r="M1940" s="52">
        <v>0</v>
      </c>
      <c r="N1940" s="2">
        <f t="shared" si="2706"/>
        <v>1.1999999999999993</v>
      </c>
      <c r="O1940" s="2">
        <f t="shared" si="2721"/>
        <v>1439.9999999999991</v>
      </c>
      <c r="P1940" s="13"/>
      <c r="Q1940" s="13"/>
      <c r="R1940" s="13"/>
      <c r="S1940" s="13"/>
      <c r="T1940" s="13"/>
      <c r="U1940" s="13"/>
      <c r="V1940" s="13"/>
      <c r="W1940" s="13"/>
      <c r="X1940" s="13"/>
      <c r="Y1940" s="13"/>
      <c r="Z1940" s="13"/>
      <c r="AA1940" s="13"/>
      <c r="AB1940" s="13"/>
      <c r="AC1940" s="13"/>
      <c r="AD1940" s="13"/>
      <c r="AE1940" s="13"/>
      <c r="AF1940" s="13"/>
      <c r="AG1940" s="13"/>
    </row>
    <row r="1941" spans="1:33" s="14" customFormat="1">
      <c r="A1941" s="10">
        <v>43244</v>
      </c>
      <c r="B1941" s="3" t="s">
        <v>213</v>
      </c>
      <c r="C1941" s="15" t="s">
        <v>47</v>
      </c>
      <c r="D1941" s="15">
        <v>390</v>
      </c>
      <c r="E1941" s="11">
        <v>2000</v>
      </c>
      <c r="F1941" s="3" t="s">
        <v>8</v>
      </c>
      <c r="G1941" s="46">
        <v>5.5</v>
      </c>
      <c r="H1941" s="3">
        <v>6.5</v>
      </c>
      <c r="I1941" s="46">
        <v>0</v>
      </c>
      <c r="J1941" s="55">
        <v>0</v>
      </c>
      <c r="K1941" s="1">
        <f t="shared" ref="K1941" si="2793">(IF(F1941="SELL",G1941-H1941,IF(F1941="BUY",H1941-G1941)))*E1941</f>
        <v>2000</v>
      </c>
      <c r="L1941" s="51">
        <v>0</v>
      </c>
      <c r="M1941" s="52">
        <v>0</v>
      </c>
      <c r="N1941" s="2">
        <f t="shared" ref="N1941:N2004" si="2794">(L1941+K1941+M1941)/E1941</f>
        <v>1</v>
      </c>
      <c r="O1941" s="2">
        <f t="shared" si="2721"/>
        <v>2000</v>
      </c>
      <c r="P1941" s="13"/>
      <c r="Q1941" s="13"/>
      <c r="R1941" s="13"/>
      <c r="S1941" s="13"/>
      <c r="T1941" s="13"/>
      <c r="U1941" s="13"/>
      <c r="V1941" s="13"/>
      <c r="W1941" s="13"/>
      <c r="X1941" s="13"/>
      <c r="Y1941" s="13"/>
      <c r="Z1941" s="13"/>
      <c r="AA1941" s="13"/>
      <c r="AB1941" s="13"/>
      <c r="AC1941" s="13"/>
      <c r="AD1941" s="13"/>
      <c r="AE1941" s="13"/>
      <c r="AF1941" s="13"/>
      <c r="AG1941" s="13"/>
    </row>
    <row r="1942" spans="1:33" s="14" customFormat="1">
      <c r="A1942" s="10">
        <v>43244</v>
      </c>
      <c r="B1942" s="3" t="s">
        <v>211</v>
      </c>
      <c r="C1942" s="15" t="s">
        <v>47</v>
      </c>
      <c r="D1942" s="15">
        <v>1100</v>
      </c>
      <c r="E1942" s="11">
        <v>750</v>
      </c>
      <c r="F1942" s="3" t="s">
        <v>8</v>
      </c>
      <c r="G1942" s="46">
        <v>30.5</v>
      </c>
      <c r="H1942" s="3">
        <v>21</v>
      </c>
      <c r="I1942" s="46">
        <v>0</v>
      </c>
      <c r="J1942" s="55">
        <v>0</v>
      </c>
      <c r="K1942" s="1">
        <f t="shared" ref="K1942" si="2795">(IF(F1942="SELL",G1942-H1942,IF(F1942="BUY",H1942-G1942)))*E1942</f>
        <v>-7125</v>
      </c>
      <c r="L1942" s="51">
        <v>0</v>
      </c>
      <c r="M1942" s="52">
        <v>0</v>
      </c>
      <c r="N1942" s="2">
        <f t="shared" si="2794"/>
        <v>-9.5</v>
      </c>
      <c r="O1942" s="2">
        <f t="shared" si="2721"/>
        <v>-7125</v>
      </c>
      <c r="P1942" s="13"/>
      <c r="Q1942" s="13"/>
      <c r="R1942" s="13"/>
      <c r="S1942" s="13"/>
      <c r="T1942" s="13"/>
      <c r="U1942" s="13"/>
      <c r="V1942" s="13"/>
      <c r="W1942" s="13"/>
      <c r="X1942" s="13"/>
      <c r="Y1942" s="13"/>
      <c r="Z1942" s="13"/>
      <c r="AA1942" s="13"/>
      <c r="AB1942" s="13"/>
      <c r="AC1942" s="13"/>
      <c r="AD1942" s="13"/>
      <c r="AE1942" s="13"/>
      <c r="AF1942" s="13"/>
      <c r="AG1942" s="13"/>
    </row>
    <row r="1943" spans="1:33" s="14" customFormat="1">
      <c r="A1943" s="10">
        <v>43243</v>
      </c>
      <c r="B1943" s="3" t="s">
        <v>264</v>
      </c>
      <c r="C1943" s="15" t="s">
        <v>47</v>
      </c>
      <c r="D1943" s="15">
        <v>255</v>
      </c>
      <c r="E1943" s="11">
        <v>4500</v>
      </c>
      <c r="F1943" s="3" t="s">
        <v>8</v>
      </c>
      <c r="G1943" s="46">
        <v>6.5</v>
      </c>
      <c r="H1943" s="3">
        <v>7</v>
      </c>
      <c r="I1943" s="46">
        <v>8</v>
      </c>
      <c r="J1943" s="55">
        <v>9</v>
      </c>
      <c r="K1943" s="1">
        <f t="shared" ref="K1943" si="2796">(IF(F1943="SELL",G1943-H1943,IF(F1943="BUY",H1943-G1943)))*E1943</f>
        <v>2250</v>
      </c>
      <c r="L1943" s="51">
        <f t="shared" ref="L1943" si="2797">(IF(F1943="SELL",IF(I1943="",0,H1943-I1943),IF(F1943="BUY",IF(I1943="",0,I1943-H1943))))*E1943</f>
        <v>4500</v>
      </c>
      <c r="M1943" s="52">
        <v>3000</v>
      </c>
      <c r="N1943" s="2">
        <f t="shared" si="2794"/>
        <v>2.1666666666666665</v>
      </c>
      <c r="O1943" s="2">
        <f t="shared" si="2721"/>
        <v>9750</v>
      </c>
      <c r="P1943" s="13"/>
      <c r="Q1943" s="13"/>
      <c r="R1943" s="13"/>
      <c r="S1943" s="13"/>
      <c r="T1943" s="13"/>
      <c r="U1943" s="13"/>
      <c r="V1943" s="13"/>
      <c r="W1943" s="13"/>
      <c r="X1943" s="13"/>
      <c r="Y1943" s="13"/>
      <c r="Z1943" s="13"/>
      <c r="AA1943" s="13"/>
      <c r="AB1943" s="13"/>
      <c r="AC1943" s="13"/>
      <c r="AD1943" s="13"/>
      <c r="AE1943" s="13"/>
      <c r="AF1943" s="13"/>
      <c r="AG1943" s="13"/>
    </row>
    <row r="1944" spans="1:33" s="14" customFormat="1">
      <c r="A1944" s="10">
        <v>43243</v>
      </c>
      <c r="B1944" s="3" t="s">
        <v>196</v>
      </c>
      <c r="C1944" s="15" t="s">
        <v>47</v>
      </c>
      <c r="D1944" s="15">
        <v>700</v>
      </c>
      <c r="E1944" s="11">
        <v>1200</v>
      </c>
      <c r="F1944" s="3" t="s">
        <v>8</v>
      </c>
      <c r="G1944" s="46">
        <v>18</v>
      </c>
      <c r="H1944" s="3">
        <v>20</v>
      </c>
      <c r="I1944" s="46">
        <v>23</v>
      </c>
      <c r="J1944" s="55">
        <v>0</v>
      </c>
      <c r="K1944" s="1">
        <f t="shared" ref="K1944" si="2798">(IF(F1944="SELL",G1944-H1944,IF(F1944="BUY",H1944-G1944)))*E1944</f>
        <v>2400</v>
      </c>
      <c r="L1944" s="51">
        <f t="shared" ref="L1944" si="2799">(IF(F1944="SELL",IF(I1944="",0,H1944-I1944),IF(F1944="BUY",IF(I1944="",0,I1944-H1944))))*E1944</f>
        <v>3600</v>
      </c>
      <c r="M1944" s="52">
        <v>0</v>
      </c>
      <c r="N1944" s="2">
        <f t="shared" si="2794"/>
        <v>5</v>
      </c>
      <c r="O1944" s="2">
        <f t="shared" si="2721"/>
        <v>6000</v>
      </c>
      <c r="P1944" s="13"/>
      <c r="Q1944" s="13"/>
      <c r="R1944" s="13"/>
      <c r="S1944" s="13"/>
      <c r="T1944" s="13"/>
      <c r="U1944" s="13"/>
      <c r="V1944" s="13"/>
      <c r="W1944" s="13"/>
      <c r="X1944" s="13"/>
      <c r="Y1944" s="13"/>
      <c r="Z1944" s="13"/>
      <c r="AA1944" s="13"/>
      <c r="AB1944" s="13"/>
      <c r="AC1944" s="13"/>
      <c r="AD1944" s="13"/>
      <c r="AE1944" s="13"/>
      <c r="AF1944" s="13"/>
      <c r="AG1944" s="13"/>
    </row>
    <row r="1945" spans="1:33" s="14" customFormat="1">
      <c r="A1945" s="10">
        <v>43243</v>
      </c>
      <c r="B1945" s="3" t="s">
        <v>211</v>
      </c>
      <c r="C1945" s="15" t="s">
        <v>47</v>
      </c>
      <c r="D1945" s="15">
        <v>1080</v>
      </c>
      <c r="E1945" s="11">
        <v>750</v>
      </c>
      <c r="F1945" s="3" t="s">
        <v>8</v>
      </c>
      <c r="G1945" s="46">
        <v>26</v>
      </c>
      <c r="H1945" s="3">
        <v>28</v>
      </c>
      <c r="I1945" s="46">
        <v>32</v>
      </c>
      <c r="J1945" s="55">
        <v>0</v>
      </c>
      <c r="K1945" s="1">
        <f t="shared" ref="K1945" si="2800">(IF(F1945="SELL",G1945-H1945,IF(F1945="BUY",H1945-G1945)))*E1945</f>
        <v>1500</v>
      </c>
      <c r="L1945" s="51">
        <f t="shared" ref="L1945" si="2801">(IF(F1945="SELL",IF(I1945="",0,H1945-I1945),IF(F1945="BUY",IF(I1945="",0,I1945-H1945))))*E1945</f>
        <v>3000</v>
      </c>
      <c r="M1945" s="52">
        <v>0</v>
      </c>
      <c r="N1945" s="2">
        <f t="shared" si="2794"/>
        <v>6</v>
      </c>
      <c r="O1945" s="2">
        <f t="shared" si="2721"/>
        <v>4500</v>
      </c>
      <c r="P1945" s="13"/>
      <c r="Q1945" s="13"/>
      <c r="R1945" s="13"/>
      <c r="S1945" s="13"/>
      <c r="T1945" s="13"/>
      <c r="U1945" s="13"/>
      <c r="V1945" s="13"/>
      <c r="W1945" s="13"/>
      <c r="X1945" s="13"/>
      <c r="Y1945" s="13"/>
      <c r="Z1945" s="13"/>
      <c r="AA1945" s="13"/>
      <c r="AB1945" s="13"/>
      <c r="AC1945" s="13"/>
      <c r="AD1945" s="13"/>
      <c r="AE1945" s="13"/>
      <c r="AF1945" s="13"/>
      <c r="AG1945" s="13"/>
    </row>
    <row r="1946" spans="1:33" s="14" customFormat="1">
      <c r="A1946" s="10">
        <v>43243</v>
      </c>
      <c r="B1946" s="3" t="s">
        <v>305</v>
      </c>
      <c r="C1946" s="15" t="s">
        <v>47</v>
      </c>
      <c r="D1946" s="15">
        <v>105</v>
      </c>
      <c r="E1946" s="11">
        <v>9000</v>
      </c>
      <c r="F1946" s="3" t="s">
        <v>8</v>
      </c>
      <c r="G1946" s="46">
        <v>3.15</v>
      </c>
      <c r="H1946" s="3">
        <v>3.4</v>
      </c>
      <c r="I1946" s="46">
        <v>0</v>
      </c>
      <c r="J1946" s="55">
        <v>0</v>
      </c>
      <c r="K1946" s="1">
        <f t="shared" ref="K1946" si="2802">(IF(F1946="SELL",G1946-H1946,IF(F1946="BUY",H1946-G1946)))*E1946</f>
        <v>2250</v>
      </c>
      <c r="L1946" s="51">
        <v>0</v>
      </c>
      <c r="M1946" s="52">
        <v>0</v>
      </c>
      <c r="N1946" s="2">
        <f t="shared" si="2794"/>
        <v>0.25</v>
      </c>
      <c r="O1946" s="2">
        <f t="shared" si="2721"/>
        <v>2250</v>
      </c>
      <c r="P1946" s="13"/>
      <c r="Q1946" s="13"/>
      <c r="R1946" s="13"/>
      <c r="S1946" s="13"/>
      <c r="T1946" s="13"/>
      <c r="U1946" s="13"/>
      <c r="V1946" s="13"/>
      <c r="W1946" s="13"/>
      <c r="X1946" s="13"/>
      <c r="Y1946" s="13"/>
      <c r="Z1946" s="13"/>
      <c r="AA1946" s="13"/>
      <c r="AB1946" s="13"/>
      <c r="AC1946" s="13"/>
      <c r="AD1946" s="13"/>
      <c r="AE1946" s="13"/>
      <c r="AF1946" s="13"/>
      <c r="AG1946" s="13"/>
    </row>
    <row r="1947" spans="1:33" s="14" customFormat="1">
      <c r="A1947" s="10">
        <v>43242</v>
      </c>
      <c r="B1947" s="3" t="s">
        <v>198</v>
      </c>
      <c r="C1947" s="15" t="s">
        <v>47</v>
      </c>
      <c r="D1947" s="15">
        <v>250</v>
      </c>
      <c r="E1947" s="11">
        <v>3000</v>
      </c>
      <c r="F1947" s="3" t="s">
        <v>8</v>
      </c>
      <c r="G1947" s="46">
        <v>6.5</v>
      </c>
      <c r="H1947" s="3">
        <v>7</v>
      </c>
      <c r="I1947" s="46">
        <v>8</v>
      </c>
      <c r="J1947" s="55">
        <v>9</v>
      </c>
      <c r="K1947" s="1">
        <f t="shared" ref="K1947" si="2803">(IF(F1947="SELL",G1947-H1947,IF(F1947="BUY",H1947-G1947)))*E1947</f>
        <v>1500</v>
      </c>
      <c r="L1947" s="51">
        <f t="shared" ref="L1947" si="2804">(IF(F1947="SELL",IF(I1947="",0,H1947-I1947),IF(F1947="BUY",IF(I1947="",0,I1947-H1947))))*E1947</f>
        <v>3000</v>
      </c>
      <c r="M1947" s="52">
        <v>3000</v>
      </c>
      <c r="N1947" s="2">
        <f t="shared" si="2794"/>
        <v>2.5</v>
      </c>
      <c r="O1947" s="2">
        <f t="shared" si="2721"/>
        <v>7500</v>
      </c>
      <c r="P1947" s="13"/>
      <c r="Q1947" s="13"/>
      <c r="R1947" s="13"/>
      <c r="S1947" s="13"/>
      <c r="T1947" s="13"/>
      <c r="U1947" s="13"/>
      <c r="V1947" s="13"/>
      <c r="W1947" s="13"/>
      <c r="X1947" s="13"/>
      <c r="Y1947" s="13"/>
      <c r="Z1947" s="13"/>
      <c r="AA1947" s="13"/>
      <c r="AB1947" s="13"/>
      <c r="AC1947" s="13"/>
      <c r="AD1947" s="13"/>
      <c r="AE1947" s="13"/>
      <c r="AF1947" s="13"/>
      <c r="AG1947" s="13"/>
    </row>
    <row r="1948" spans="1:33" s="14" customFormat="1">
      <c r="A1948" s="10">
        <v>43242</v>
      </c>
      <c r="B1948" s="3" t="s">
        <v>304</v>
      </c>
      <c r="C1948" s="15" t="s">
        <v>47</v>
      </c>
      <c r="D1948" s="15">
        <v>290</v>
      </c>
      <c r="E1948" s="11">
        <v>2200</v>
      </c>
      <c r="F1948" s="3" t="s">
        <v>8</v>
      </c>
      <c r="G1948" s="46">
        <v>7.5</v>
      </c>
      <c r="H1948" s="3">
        <v>8.5</v>
      </c>
      <c r="I1948" s="46">
        <v>0</v>
      </c>
      <c r="J1948" s="55">
        <v>0</v>
      </c>
      <c r="K1948" s="1">
        <f t="shared" ref="K1948" si="2805">(IF(F1948="SELL",G1948-H1948,IF(F1948="BUY",H1948-G1948)))*E1948</f>
        <v>2200</v>
      </c>
      <c r="L1948" s="51">
        <v>0</v>
      </c>
      <c r="M1948" s="52">
        <v>0</v>
      </c>
      <c r="N1948" s="2">
        <f t="shared" si="2794"/>
        <v>1</v>
      </c>
      <c r="O1948" s="2">
        <f t="shared" si="2721"/>
        <v>2200</v>
      </c>
      <c r="P1948" s="13"/>
      <c r="Q1948" s="13"/>
      <c r="R1948" s="13"/>
      <c r="S1948" s="13"/>
      <c r="T1948" s="13"/>
      <c r="U1948" s="13"/>
      <c r="V1948" s="13"/>
      <c r="W1948" s="13"/>
      <c r="X1948" s="13"/>
      <c r="Y1948" s="13"/>
      <c r="Z1948" s="13"/>
      <c r="AA1948" s="13"/>
      <c r="AB1948" s="13"/>
      <c r="AC1948" s="13"/>
      <c r="AD1948" s="13"/>
      <c r="AE1948" s="13"/>
      <c r="AF1948" s="13"/>
      <c r="AG1948" s="13"/>
    </row>
    <row r="1949" spans="1:33" s="14" customFormat="1">
      <c r="A1949" s="10">
        <v>43242</v>
      </c>
      <c r="B1949" s="3" t="s">
        <v>303</v>
      </c>
      <c r="C1949" s="15" t="s">
        <v>47</v>
      </c>
      <c r="D1949" s="15">
        <v>580</v>
      </c>
      <c r="E1949" s="11">
        <v>800</v>
      </c>
      <c r="F1949" s="3" t="s">
        <v>8</v>
      </c>
      <c r="G1949" s="46">
        <v>15.1</v>
      </c>
      <c r="H1949" s="3">
        <v>17</v>
      </c>
      <c r="I1949" s="46">
        <v>0</v>
      </c>
      <c r="J1949" s="55">
        <v>0</v>
      </c>
      <c r="K1949" s="1">
        <f t="shared" ref="K1949" si="2806">(IF(F1949="SELL",G1949-H1949,IF(F1949="BUY",H1949-G1949)))*E1949</f>
        <v>1520.0000000000002</v>
      </c>
      <c r="L1949" s="51">
        <v>0</v>
      </c>
      <c r="M1949" s="52">
        <v>0</v>
      </c>
      <c r="N1949" s="2">
        <f t="shared" si="2794"/>
        <v>1.9000000000000004</v>
      </c>
      <c r="O1949" s="2">
        <f t="shared" si="2721"/>
        <v>1520.0000000000002</v>
      </c>
      <c r="P1949" s="13"/>
      <c r="Q1949" s="13"/>
      <c r="R1949" s="13"/>
      <c r="S1949" s="13"/>
      <c r="T1949" s="13"/>
      <c r="U1949" s="13"/>
      <c r="V1949" s="13"/>
      <c r="W1949" s="13"/>
      <c r="X1949" s="13"/>
      <c r="Y1949" s="13"/>
      <c r="Z1949" s="13"/>
      <c r="AA1949" s="13"/>
      <c r="AB1949" s="13"/>
      <c r="AC1949" s="13"/>
      <c r="AD1949" s="13"/>
      <c r="AE1949" s="13"/>
      <c r="AF1949" s="13"/>
      <c r="AG1949" s="13"/>
    </row>
    <row r="1950" spans="1:33" s="14" customFormat="1">
      <c r="A1950" s="10">
        <v>43241</v>
      </c>
      <c r="B1950" s="3" t="s">
        <v>302</v>
      </c>
      <c r="C1950" s="15" t="s">
        <v>46</v>
      </c>
      <c r="D1950" s="15">
        <v>225</v>
      </c>
      <c r="E1950" s="11">
        <v>3500</v>
      </c>
      <c r="F1950" s="3" t="s">
        <v>8</v>
      </c>
      <c r="G1950" s="46">
        <v>4.5999999999999996</v>
      </c>
      <c r="H1950" s="3">
        <v>5</v>
      </c>
      <c r="I1950" s="46">
        <v>5.7</v>
      </c>
      <c r="J1950" s="55">
        <v>0</v>
      </c>
      <c r="K1950" s="1">
        <f t="shared" ref="K1950" si="2807">(IF(F1950="SELL",G1950-H1950,IF(F1950="BUY",H1950-G1950)))*E1950</f>
        <v>1400.0000000000011</v>
      </c>
      <c r="L1950" s="51">
        <f t="shared" ref="L1950" si="2808">(IF(F1950="SELL",IF(I1950="",0,H1950-I1950),IF(F1950="BUY",IF(I1950="",0,I1950-H1950))))*E1950</f>
        <v>2450.0000000000005</v>
      </c>
      <c r="M1950" s="52">
        <v>0</v>
      </c>
      <c r="N1950" s="2">
        <f t="shared" si="2794"/>
        <v>1.1000000000000005</v>
      </c>
      <c r="O1950" s="2">
        <f t="shared" si="2721"/>
        <v>3850.0000000000018</v>
      </c>
      <c r="P1950" s="13"/>
      <c r="Q1950" s="13"/>
      <c r="R1950" s="13"/>
      <c r="S1950" s="13"/>
      <c r="T1950" s="13"/>
      <c r="U1950" s="13"/>
      <c r="V1950" s="13"/>
      <c r="W1950" s="13"/>
      <c r="X1950" s="13"/>
      <c r="Y1950" s="13"/>
      <c r="Z1950" s="13"/>
      <c r="AA1950" s="13"/>
      <c r="AB1950" s="13"/>
      <c r="AC1950" s="13"/>
      <c r="AD1950" s="13"/>
      <c r="AE1950" s="13"/>
      <c r="AF1950" s="13"/>
      <c r="AG1950" s="13"/>
    </row>
    <row r="1951" spans="1:33" s="14" customFormat="1">
      <c r="A1951" s="10">
        <v>43241</v>
      </c>
      <c r="B1951" s="3" t="s">
        <v>252</v>
      </c>
      <c r="C1951" s="15" t="s">
        <v>46</v>
      </c>
      <c r="D1951" s="15">
        <v>120</v>
      </c>
      <c r="E1951" s="11">
        <v>4000</v>
      </c>
      <c r="F1951" s="3" t="s">
        <v>8</v>
      </c>
      <c r="G1951" s="46">
        <v>6.35</v>
      </c>
      <c r="H1951" s="3">
        <v>6.75</v>
      </c>
      <c r="I1951" s="46">
        <v>0</v>
      </c>
      <c r="J1951" s="55">
        <v>0</v>
      </c>
      <c r="K1951" s="1">
        <f t="shared" ref="K1951" si="2809">(IF(F1951="SELL",G1951-H1951,IF(F1951="BUY",H1951-G1951)))*E1951</f>
        <v>1600.0000000000014</v>
      </c>
      <c r="L1951" s="51">
        <v>0</v>
      </c>
      <c r="M1951" s="52">
        <v>0</v>
      </c>
      <c r="N1951" s="2">
        <f t="shared" si="2794"/>
        <v>0.40000000000000036</v>
      </c>
      <c r="O1951" s="2">
        <f t="shared" si="2721"/>
        <v>1600.0000000000014</v>
      </c>
      <c r="P1951" s="13"/>
      <c r="Q1951" s="13"/>
      <c r="R1951" s="13"/>
      <c r="S1951" s="13"/>
      <c r="T1951" s="13"/>
      <c r="U1951" s="13"/>
      <c r="V1951" s="13"/>
      <c r="W1951" s="13"/>
      <c r="X1951" s="13"/>
      <c r="Y1951" s="13"/>
      <c r="Z1951" s="13"/>
      <c r="AA1951" s="13"/>
      <c r="AB1951" s="13"/>
      <c r="AC1951" s="13"/>
      <c r="AD1951" s="13"/>
      <c r="AE1951" s="13"/>
      <c r="AF1951" s="13"/>
      <c r="AG1951" s="13"/>
    </row>
    <row r="1952" spans="1:33" s="14" customFormat="1">
      <c r="A1952" s="10">
        <v>43238</v>
      </c>
      <c r="B1952" s="3" t="s">
        <v>198</v>
      </c>
      <c r="C1952" s="15" t="s">
        <v>46</v>
      </c>
      <c r="D1952" s="15">
        <v>235</v>
      </c>
      <c r="E1952" s="11">
        <v>3000</v>
      </c>
      <c r="F1952" s="3" t="s">
        <v>8</v>
      </c>
      <c r="G1952" s="46">
        <v>5.75</v>
      </c>
      <c r="H1952" s="3">
        <v>6.25</v>
      </c>
      <c r="I1952" s="46">
        <v>0</v>
      </c>
      <c r="J1952" s="55">
        <v>0</v>
      </c>
      <c r="K1952" s="1">
        <f t="shared" ref="K1952" si="2810">(IF(F1952="SELL",G1952-H1952,IF(F1952="BUY",H1952-G1952)))*E1952</f>
        <v>1500</v>
      </c>
      <c r="L1952" s="51">
        <v>0</v>
      </c>
      <c r="M1952" s="52">
        <v>0</v>
      </c>
      <c r="N1952" s="2">
        <f t="shared" si="2794"/>
        <v>0.5</v>
      </c>
      <c r="O1952" s="2">
        <f t="shared" ref="O1952:O2015" si="2811">N1952*E1952</f>
        <v>1500</v>
      </c>
      <c r="P1952" s="13"/>
      <c r="Q1952" s="13"/>
      <c r="R1952" s="13"/>
      <c r="S1952" s="13"/>
      <c r="T1952" s="13"/>
      <c r="U1952" s="13"/>
      <c r="V1952" s="13"/>
      <c r="W1952" s="13"/>
      <c r="X1952" s="13"/>
      <c r="Y1952" s="13"/>
      <c r="Z1952" s="13"/>
      <c r="AA1952" s="13"/>
      <c r="AB1952" s="13"/>
      <c r="AC1952" s="13"/>
      <c r="AD1952" s="13"/>
      <c r="AE1952" s="13"/>
      <c r="AF1952" s="13"/>
      <c r="AG1952" s="13"/>
    </row>
    <row r="1953" spans="1:33" s="14" customFormat="1">
      <c r="A1953" s="10">
        <v>43238</v>
      </c>
      <c r="B1953" s="3" t="s">
        <v>196</v>
      </c>
      <c r="C1953" s="15" t="s">
        <v>47</v>
      </c>
      <c r="D1953" s="15">
        <v>700</v>
      </c>
      <c r="E1953" s="11">
        <v>1200</v>
      </c>
      <c r="F1953" s="3" t="s">
        <v>8</v>
      </c>
      <c r="G1953" s="46">
        <v>17.2</v>
      </c>
      <c r="H1953" s="3">
        <v>18.2</v>
      </c>
      <c r="I1953" s="46">
        <v>0</v>
      </c>
      <c r="J1953" s="55">
        <v>0</v>
      </c>
      <c r="K1953" s="1">
        <f t="shared" ref="K1953" si="2812">(IF(F1953="SELL",G1953-H1953,IF(F1953="BUY",H1953-G1953)))*E1953</f>
        <v>1200</v>
      </c>
      <c r="L1953" s="51">
        <v>0</v>
      </c>
      <c r="M1953" s="52">
        <v>0</v>
      </c>
      <c r="N1953" s="2">
        <f t="shared" si="2794"/>
        <v>1</v>
      </c>
      <c r="O1953" s="2">
        <f t="shared" si="2811"/>
        <v>1200</v>
      </c>
      <c r="P1953" s="13"/>
      <c r="Q1953" s="13"/>
      <c r="R1953" s="13"/>
      <c r="S1953" s="13"/>
      <c r="T1953" s="13"/>
      <c r="U1953" s="13"/>
      <c r="V1953" s="13"/>
      <c r="W1953" s="13"/>
      <c r="X1953" s="13"/>
      <c r="Y1953" s="13"/>
      <c r="Z1953" s="13"/>
      <c r="AA1953" s="13"/>
      <c r="AB1953" s="13"/>
      <c r="AC1953" s="13"/>
      <c r="AD1953" s="13"/>
      <c r="AE1953" s="13"/>
      <c r="AF1953" s="13"/>
      <c r="AG1953" s="13"/>
    </row>
    <row r="1954" spans="1:33" s="14" customFormat="1">
      <c r="A1954" s="10">
        <v>43238</v>
      </c>
      <c r="B1954" s="3" t="s">
        <v>213</v>
      </c>
      <c r="C1954" s="15" t="s">
        <v>47</v>
      </c>
      <c r="D1954" s="15">
        <v>410</v>
      </c>
      <c r="E1954" s="11">
        <v>2000</v>
      </c>
      <c r="F1954" s="3" t="s">
        <v>8</v>
      </c>
      <c r="G1954" s="46">
        <v>8.8000000000000007</v>
      </c>
      <c r="H1954" s="3">
        <v>0</v>
      </c>
      <c r="I1954" s="46">
        <v>0</v>
      </c>
      <c r="J1954" s="55">
        <v>0</v>
      </c>
      <c r="K1954" s="1">
        <v>0</v>
      </c>
      <c r="L1954" s="51">
        <f t="shared" ref="L1954" si="2813">(IF(F1954="SELL",IF(I1954="",0,H1954-I1954),IF(F1954="BUY",IF(I1954="",0,I1954-H1954))))*E1954</f>
        <v>0</v>
      </c>
      <c r="M1954" s="52">
        <v>0</v>
      </c>
      <c r="N1954" s="2">
        <f t="shared" si="2794"/>
        <v>0</v>
      </c>
      <c r="O1954" s="2">
        <f t="shared" si="2811"/>
        <v>0</v>
      </c>
      <c r="P1954" s="13"/>
      <c r="Q1954" s="13"/>
      <c r="R1954" s="13"/>
      <c r="S1954" s="13"/>
      <c r="T1954" s="13"/>
      <c r="U1954" s="13"/>
      <c r="V1954" s="13"/>
      <c r="W1954" s="13"/>
      <c r="X1954" s="13"/>
      <c r="Y1954" s="13"/>
      <c r="Z1954" s="13"/>
      <c r="AA1954" s="13"/>
      <c r="AB1954" s="13"/>
      <c r="AC1954" s="13"/>
      <c r="AD1954" s="13"/>
      <c r="AE1954" s="13"/>
      <c r="AF1954" s="13"/>
      <c r="AG1954" s="13"/>
    </row>
    <row r="1955" spans="1:33" s="14" customFormat="1">
      <c r="A1955" s="10">
        <v>43237</v>
      </c>
      <c r="B1955" s="3" t="s">
        <v>301</v>
      </c>
      <c r="C1955" s="15" t="s">
        <v>47</v>
      </c>
      <c r="D1955" s="15">
        <v>120</v>
      </c>
      <c r="E1955" s="11">
        <v>6000</v>
      </c>
      <c r="F1955" s="3" t="s">
        <v>8</v>
      </c>
      <c r="G1955" s="46">
        <v>2.2000000000000002</v>
      </c>
      <c r="H1955" s="3">
        <v>2.5</v>
      </c>
      <c r="I1955" s="46">
        <v>3</v>
      </c>
      <c r="J1955" s="55">
        <v>0</v>
      </c>
      <c r="K1955" s="1">
        <f t="shared" ref="K1955" si="2814">(IF(F1955="SELL",G1955-H1955,IF(F1955="BUY",H1955-G1955)))*E1955</f>
        <v>1799.9999999999989</v>
      </c>
      <c r="L1955" s="51">
        <f t="shared" ref="L1955" si="2815">(IF(F1955="SELL",IF(I1955="",0,H1955-I1955),IF(F1955="BUY",IF(I1955="",0,I1955-H1955))))*E1955</f>
        <v>3000</v>
      </c>
      <c r="M1955" s="52">
        <v>0</v>
      </c>
      <c r="N1955" s="2">
        <f t="shared" si="2794"/>
        <v>0.79999999999999982</v>
      </c>
      <c r="O1955" s="2">
        <f t="shared" si="2811"/>
        <v>4799.9999999999991</v>
      </c>
      <c r="P1955" s="13"/>
      <c r="Q1955" s="13"/>
      <c r="R1955" s="13"/>
      <c r="S1955" s="13"/>
      <c r="T1955" s="13"/>
      <c r="U1955" s="13"/>
      <c r="V1955" s="13"/>
      <c r="W1955" s="13"/>
      <c r="X1955" s="13"/>
      <c r="Y1955" s="13"/>
      <c r="Z1955" s="13"/>
      <c r="AA1955" s="13"/>
      <c r="AB1955" s="13"/>
      <c r="AC1955" s="13"/>
      <c r="AD1955" s="13"/>
      <c r="AE1955" s="13"/>
      <c r="AF1955" s="13"/>
      <c r="AG1955" s="13"/>
    </row>
    <row r="1956" spans="1:33" s="14" customFormat="1">
      <c r="A1956" s="10">
        <v>43237</v>
      </c>
      <c r="B1956" s="3" t="s">
        <v>232</v>
      </c>
      <c r="C1956" s="15" t="s">
        <v>47</v>
      </c>
      <c r="D1956" s="15">
        <v>400</v>
      </c>
      <c r="E1956" s="11">
        <v>1300</v>
      </c>
      <c r="F1956" s="3" t="s">
        <v>8</v>
      </c>
      <c r="G1956" s="46">
        <v>14.5</v>
      </c>
      <c r="H1956" s="3">
        <v>15.5</v>
      </c>
      <c r="I1956" s="46">
        <v>0</v>
      </c>
      <c r="J1956" s="55">
        <v>0</v>
      </c>
      <c r="K1956" s="1">
        <f t="shared" ref="K1956" si="2816">(IF(F1956="SELL",G1956-H1956,IF(F1956="BUY",H1956-G1956)))*E1956</f>
        <v>1300</v>
      </c>
      <c r="L1956" s="51">
        <v>0</v>
      </c>
      <c r="M1956" s="52">
        <f t="shared" ref="M1956:M1965" si="2817">(IF(F1956="SELL",IF(J1956="",0,I1956-J1956),IF(F1956="BUY",IF(J1956="",0,(J1956-I1956)))))*E1956</f>
        <v>0</v>
      </c>
      <c r="N1956" s="2">
        <f t="shared" si="2794"/>
        <v>1</v>
      </c>
      <c r="O1956" s="2">
        <f t="shared" si="2811"/>
        <v>1300</v>
      </c>
      <c r="P1956" s="13"/>
      <c r="Q1956" s="13"/>
      <c r="R1956" s="13"/>
      <c r="S1956" s="13"/>
      <c r="T1956" s="13"/>
      <c r="U1956" s="13"/>
      <c r="V1956" s="13"/>
      <c r="W1956" s="13"/>
      <c r="X1956" s="13"/>
      <c r="Y1956" s="13"/>
      <c r="Z1956" s="13"/>
      <c r="AA1956" s="13"/>
      <c r="AB1956" s="13"/>
      <c r="AC1956" s="13"/>
      <c r="AD1956" s="13"/>
      <c r="AE1956" s="13"/>
      <c r="AF1956" s="13"/>
      <c r="AG1956" s="13"/>
    </row>
    <row r="1957" spans="1:33" s="14" customFormat="1">
      <c r="A1957" s="10">
        <v>43237</v>
      </c>
      <c r="B1957" s="3" t="s">
        <v>251</v>
      </c>
      <c r="C1957" s="15" t="s">
        <v>47</v>
      </c>
      <c r="D1957" s="15">
        <v>1120</v>
      </c>
      <c r="E1957" s="11">
        <v>800</v>
      </c>
      <c r="F1957" s="3" t="s">
        <v>8</v>
      </c>
      <c r="G1957" s="46">
        <v>12.05</v>
      </c>
      <c r="H1957" s="3">
        <v>15</v>
      </c>
      <c r="I1957" s="46">
        <v>0</v>
      </c>
      <c r="J1957" s="55">
        <v>0</v>
      </c>
      <c r="K1957" s="1">
        <f t="shared" ref="K1957" si="2818">(IF(F1957="SELL",G1957-H1957,IF(F1957="BUY",H1957-G1957)))*E1957</f>
        <v>2359.9999999999995</v>
      </c>
      <c r="L1957" s="51">
        <v>0</v>
      </c>
      <c r="M1957" s="52">
        <f t="shared" si="2817"/>
        <v>0</v>
      </c>
      <c r="N1957" s="2">
        <f t="shared" si="2794"/>
        <v>2.9499999999999993</v>
      </c>
      <c r="O1957" s="2">
        <f t="shared" si="2811"/>
        <v>2359.9999999999995</v>
      </c>
      <c r="P1957" s="13"/>
      <c r="Q1957" s="13"/>
      <c r="R1957" s="13"/>
      <c r="S1957" s="13"/>
      <c r="T1957" s="13"/>
      <c r="U1957" s="13"/>
      <c r="V1957" s="13"/>
      <c r="W1957" s="13"/>
      <c r="X1957" s="13"/>
      <c r="Y1957" s="13"/>
      <c r="Z1957" s="13"/>
      <c r="AA1957" s="13"/>
      <c r="AB1957" s="13"/>
      <c r="AC1957" s="13"/>
      <c r="AD1957" s="13"/>
      <c r="AE1957" s="13"/>
      <c r="AF1957" s="13"/>
      <c r="AG1957" s="13"/>
    </row>
    <row r="1958" spans="1:33" s="14" customFormat="1">
      <c r="A1958" s="10">
        <v>43236</v>
      </c>
      <c r="B1958" s="3" t="s">
        <v>141</v>
      </c>
      <c r="C1958" s="15" t="s">
        <v>47</v>
      </c>
      <c r="D1958" s="15">
        <v>440</v>
      </c>
      <c r="E1958" s="11">
        <v>3000</v>
      </c>
      <c r="F1958" s="3" t="s">
        <v>8</v>
      </c>
      <c r="G1958" s="46">
        <v>9.4</v>
      </c>
      <c r="H1958" s="3">
        <v>10</v>
      </c>
      <c r="I1958" s="46">
        <v>0</v>
      </c>
      <c r="J1958" s="55">
        <v>0</v>
      </c>
      <c r="K1958" s="1">
        <f t="shared" ref="K1958" si="2819">(IF(F1958="SELL",G1958-H1958,IF(F1958="BUY",H1958-G1958)))*E1958</f>
        <v>1799.9999999999989</v>
      </c>
      <c r="L1958" s="51">
        <v>0</v>
      </c>
      <c r="M1958" s="52">
        <f t="shared" si="2817"/>
        <v>0</v>
      </c>
      <c r="N1958" s="2">
        <f t="shared" si="2794"/>
        <v>0.59999999999999964</v>
      </c>
      <c r="O1958" s="2">
        <f t="shared" si="2811"/>
        <v>1799.9999999999989</v>
      </c>
      <c r="P1958" s="13"/>
      <c r="Q1958" s="13"/>
      <c r="R1958" s="13"/>
      <c r="S1958" s="13"/>
      <c r="T1958" s="13"/>
      <c r="U1958" s="13"/>
      <c r="V1958" s="13"/>
      <c r="W1958" s="13"/>
      <c r="X1958" s="13"/>
      <c r="Y1958" s="13"/>
      <c r="Z1958" s="13"/>
      <c r="AA1958" s="13"/>
      <c r="AB1958" s="13"/>
      <c r="AC1958" s="13"/>
      <c r="AD1958" s="13"/>
      <c r="AE1958" s="13"/>
      <c r="AF1958" s="13"/>
      <c r="AG1958" s="13"/>
    </row>
    <row r="1959" spans="1:33" s="14" customFormat="1">
      <c r="A1959" s="10">
        <v>43236</v>
      </c>
      <c r="B1959" s="3" t="s">
        <v>213</v>
      </c>
      <c r="C1959" s="15" t="s">
        <v>47</v>
      </c>
      <c r="D1959" s="15">
        <v>420</v>
      </c>
      <c r="E1959" s="11">
        <v>2000</v>
      </c>
      <c r="F1959" s="3" t="s">
        <v>8</v>
      </c>
      <c r="G1959" s="46">
        <v>10.5</v>
      </c>
      <c r="H1959" s="3">
        <v>11.5</v>
      </c>
      <c r="I1959" s="46">
        <v>0</v>
      </c>
      <c r="J1959" s="55">
        <v>0</v>
      </c>
      <c r="K1959" s="1">
        <f t="shared" ref="K1959" si="2820">(IF(F1959="SELL",G1959-H1959,IF(F1959="BUY",H1959-G1959)))*E1959</f>
        <v>2000</v>
      </c>
      <c r="L1959" s="51">
        <v>0</v>
      </c>
      <c r="M1959" s="52">
        <f t="shared" si="2817"/>
        <v>0</v>
      </c>
      <c r="N1959" s="2">
        <f t="shared" si="2794"/>
        <v>1</v>
      </c>
      <c r="O1959" s="2">
        <f t="shared" si="2811"/>
        <v>2000</v>
      </c>
      <c r="P1959" s="13"/>
      <c r="Q1959" s="13"/>
      <c r="R1959" s="13"/>
      <c r="S1959" s="13"/>
      <c r="T1959" s="13"/>
      <c r="U1959" s="13"/>
      <c r="V1959" s="13"/>
      <c r="W1959" s="13"/>
      <c r="X1959" s="13"/>
      <c r="Y1959" s="13"/>
      <c r="Z1959" s="13"/>
      <c r="AA1959" s="13"/>
      <c r="AB1959" s="13"/>
      <c r="AC1959" s="13"/>
      <c r="AD1959" s="13"/>
      <c r="AE1959" s="13"/>
      <c r="AF1959" s="13"/>
      <c r="AG1959" s="13"/>
    </row>
    <row r="1960" spans="1:33" s="14" customFormat="1">
      <c r="A1960" s="10">
        <v>43235</v>
      </c>
      <c r="B1960" s="3" t="s">
        <v>167</v>
      </c>
      <c r="C1960" s="15" t="s">
        <v>47</v>
      </c>
      <c r="D1960" s="15">
        <v>1200</v>
      </c>
      <c r="E1960" s="11">
        <v>500</v>
      </c>
      <c r="F1960" s="3" t="s">
        <v>8</v>
      </c>
      <c r="G1960" s="46">
        <v>14.5</v>
      </c>
      <c r="H1960" s="3">
        <v>0</v>
      </c>
      <c r="I1960" s="46">
        <v>0</v>
      </c>
      <c r="J1960" s="55">
        <v>0</v>
      </c>
      <c r="K1960" s="1">
        <v>0</v>
      </c>
      <c r="L1960" s="51">
        <f t="shared" ref="L1960" si="2821">(IF(F1960="SELL",IF(I1960="",0,H1960-I1960),IF(F1960="BUY",IF(I1960="",0,I1960-H1960))))*E1960</f>
        <v>0</v>
      </c>
      <c r="M1960" s="52">
        <f t="shared" si="2817"/>
        <v>0</v>
      </c>
      <c r="N1960" s="2">
        <f t="shared" si="2794"/>
        <v>0</v>
      </c>
      <c r="O1960" s="2">
        <f t="shared" si="2811"/>
        <v>0</v>
      </c>
      <c r="P1960" s="13"/>
      <c r="Q1960" s="13"/>
      <c r="R1960" s="13"/>
      <c r="S1960" s="13"/>
      <c r="T1960" s="13"/>
      <c r="U1960" s="13"/>
      <c r="V1960" s="13"/>
      <c r="W1960" s="13"/>
      <c r="X1960" s="13"/>
      <c r="Y1960" s="13"/>
      <c r="Z1960" s="13"/>
      <c r="AA1960" s="13"/>
      <c r="AB1960" s="13"/>
      <c r="AC1960" s="13"/>
      <c r="AD1960" s="13"/>
      <c r="AE1960" s="13"/>
      <c r="AF1960" s="13"/>
      <c r="AG1960" s="13"/>
    </row>
    <row r="1961" spans="1:33" s="14" customFormat="1">
      <c r="A1961" s="10">
        <v>43235</v>
      </c>
      <c r="B1961" s="3" t="s">
        <v>126</v>
      </c>
      <c r="C1961" s="15" t="s">
        <v>47</v>
      </c>
      <c r="D1961" s="15">
        <v>1400</v>
      </c>
      <c r="E1961" s="11">
        <v>750</v>
      </c>
      <c r="F1961" s="3" t="s">
        <v>8</v>
      </c>
      <c r="G1961" s="46">
        <v>27</v>
      </c>
      <c r="H1961" s="3">
        <v>30</v>
      </c>
      <c r="I1961" s="46">
        <v>0</v>
      </c>
      <c r="J1961" s="55">
        <v>0</v>
      </c>
      <c r="K1961" s="1">
        <f t="shared" ref="K1961" si="2822">(IF(F1961="SELL",G1961-H1961,IF(F1961="BUY",H1961-G1961)))*E1961</f>
        <v>2250</v>
      </c>
      <c r="L1961" s="51">
        <v>0</v>
      </c>
      <c r="M1961" s="52">
        <f t="shared" si="2817"/>
        <v>0</v>
      </c>
      <c r="N1961" s="2">
        <f t="shared" si="2794"/>
        <v>3</v>
      </c>
      <c r="O1961" s="2">
        <f t="shared" si="2811"/>
        <v>2250</v>
      </c>
      <c r="P1961" s="13"/>
      <c r="Q1961" s="13"/>
      <c r="R1961" s="13"/>
      <c r="S1961" s="13"/>
      <c r="T1961" s="13"/>
      <c r="U1961" s="13"/>
      <c r="V1961" s="13"/>
      <c r="W1961" s="13"/>
      <c r="X1961" s="13"/>
      <c r="Y1961" s="13"/>
      <c r="Z1961" s="13"/>
      <c r="AA1961" s="13"/>
      <c r="AB1961" s="13"/>
      <c r="AC1961" s="13"/>
      <c r="AD1961" s="13"/>
      <c r="AE1961" s="13"/>
      <c r="AF1961" s="13"/>
      <c r="AG1961" s="13"/>
    </row>
    <row r="1962" spans="1:33" s="14" customFormat="1">
      <c r="A1962" s="10">
        <v>43235</v>
      </c>
      <c r="B1962" s="3" t="s">
        <v>211</v>
      </c>
      <c r="C1962" s="15" t="s">
        <v>47</v>
      </c>
      <c r="D1962" s="15">
        <v>1100</v>
      </c>
      <c r="E1962" s="11">
        <v>750</v>
      </c>
      <c r="F1962" s="3" t="s">
        <v>8</v>
      </c>
      <c r="G1962" s="46">
        <v>36</v>
      </c>
      <c r="H1962" s="3">
        <v>38</v>
      </c>
      <c r="I1962" s="46">
        <v>0</v>
      </c>
      <c r="J1962" s="55">
        <v>0</v>
      </c>
      <c r="K1962" s="1">
        <f t="shared" ref="K1962:K1963" si="2823">(IF(F1962="SELL",G1962-H1962,IF(F1962="BUY",H1962-G1962)))*E1962</f>
        <v>1500</v>
      </c>
      <c r="L1962" s="51">
        <v>0</v>
      </c>
      <c r="M1962" s="52">
        <f t="shared" si="2817"/>
        <v>0</v>
      </c>
      <c r="N1962" s="2">
        <f t="shared" si="2794"/>
        <v>2</v>
      </c>
      <c r="O1962" s="2">
        <f t="shared" si="2811"/>
        <v>1500</v>
      </c>
      <c r="P1962" s="13"/>
      <c r="Q1962" s="13"/>
      <c r="R1962" s="13"/>
      <c r="S1962" s="13"/>
      <c r="T1962" s="13"/>
      <c r="U1962" s="13"/>
      <c r="V1962" s="13"/>
      <c r="W1962" s="13"/>
      <c r="X1962" s="13"/>
      <c r="Y1962" s="13"/>
      <c r="Z1962" s="13"/>
      <c r="AA1962" s="13"/>
      <c r="AB1962" s="13"/>
      <c r="AC1962" s="13"/>
      <c r="AD1962" s="13"/>
      <c r="AE1962" s="13"/>
      <c r="AF1962" s="13"/>
      <c r="AG1962" s="13"/>
    </row>
    <row r="1963" spans="1:33" s="14" customFormat="1">
      <c r="A1963" s="10">
        <v>43234</v>
      </c>
      <c r="B1963" s="3" t="s">
        <v>300</v>
      </c>
      <c r="C1963" s="15" t="s">
        <v>46</v>
      </c>
      <c r="D1963" s="15">
        <v>490</v>
      </c>
      <c r="E1963" s="11">
        <v>1250</v>
      </c>
      <c r="F1963" s="3" t="s">
        <v>8</v>
      </c>
      <c r="G1963" s="46">
        <v>11.5</v>
      </c>
      <c r="H1963" s="3">
        <v>12.5</v>
      </c>
      <c r="I1963" s="46">
        <v>0</v>
      </c>
      <c r="J1963" s="55">
        <v>0</v>
      </c>
      <c r="K1963" s="1">
        <f t="shared" si="2823"/>
        <v>1250</v>
      </c>
      <c r="L1963" s="51">
        <v>0</v>
      </c>
      <c r="M1963" s="52">
        <f t="shared" si="2817"/>
        <v>0</v>
      </c>
      <c r="N1963" s="2">
        <f t="shared" si="2794"/>
        <v>1</v>
      </c>
      <c r="O1963" s="2">
        <f t="shared" si="2811"/>
        <v>1250</v>
      </c>
      <c r="P1963" s="13"/>
      <c r="Q1963" s="13"/>
      <c r="R1963" s="13"/>
      <c r="S1963" s="13"/>
      <c r="T1963" s="13"/>
      <c r="U1963" s="13"/>
      <c r="V1963" s="13"/>
      <c r="W1963" s="13"/>
      <c r="X1963" s="13"/>
      <c r="Y1963" s="13"/>
      <c r="Z1963" s="13"/>
      <c r="AA1963" s="13"/>
      <c r="AB1963" s="13"/>
      <c r="AC1963" s="13"/>
      <c r="AD1963" s="13"/>
      <c r="AE1963" s="13"/>
      <c r="AF1963" s="13"/>
      <c r="AG1963" s="13"/>
    </row>
    <row r="1964" spans="1:33" s="14" customFormat="1">
      <c r="A1964" s="10">
        <v>43234</v>
      </c>
      <c r="B1964" s="3" t="s">
        <v>213</v>
      </c>
      <c r="C1964" s="15" t="s">
        <v>47</v>
      </c>
      <c r="D1964" s="15">
        <v>440</v>
      </c>
      <c r="E1964" s="11">
        <v>2000</v>
      </c>
      <c r="F1964" s="3" t="s">
        <v>8</v>
      </c>
      <c r="G1964" s="46">
        <v>10</v>
      </c>
      <c r="H1964" s="3">
        <v>0</v>
      </c>
      <c r="I1964" s="46">
        <v>0</v>
      </c>
      <c r="J1964" s="55">
        <v>0</v>
      </c>
      <c r="K1964" s="1">
        <v>0</v>
      </c>
      <c r="L1964" s="51">
        <f t="shared" ref="L1964" si="2824">(IF(F1964="SELL",IF(I1964="",0,H1964-I1964),IF(F1964="BUY",IF(I1964="",0,I1964-H1964))))*E1964</f>
        <v>0</v>
      </c>
      <c r="M1964" s="52">
        <f t="shared" si="2817"/>
        <v>0</v>
      </c>
      <c r="N1964" s="2">
        <f t="shared" si="2794"/>
        <v>0</v>
      </c>
      <c r="O1964" s="2">
        <f t="shared" si="2811"/>
        <v>0</v>
      </c>
      <c r="P1964" s="13"/>
      <c r="Q1964" s="13"/>
      <c r="R1964" s="13"/>
      <c r="S1964" s="13"/>
      <c r="T1964" s="13"/>
      <c r="U1964" s="13"/>
      <c r="V1964" s="13"/>
      <c r="W1964" s="13"/>
      <c r="X1964" s="13"/>
      <c r="Y1964" s="13"/>
      <c r="Z1964" s="13"/>
      <c r="AA1964" s="13"/>
      <c r="AB1964" s="13"/>
      <c r="AC1964" s="13"/>
      <c r="AD1964" s="13"/>
      <c r="AE1964" s="13"/>
      <c r="AF1964" s="13"/>
      <c r="AG1964" s="13"/>
    </row>
    <row r="1965" spans="1:33" s="14" customFormat="1">
      <c r="A1965" s="10">
        <v>43231</v>
      </c>
      <c r="B1965" s="3" t="s">
        <v>154</v>
      </c>
      <c r="C1965" s="15" t="s">
        <v>47</v>
      </c>
      <c r="D1965" s="15">
        <v>400</v>
      </c>
      <c r="E1965" s="11">
        <v>1800</v>
      </c>
      <c r="F1965" s="3" t="s">
        <v>8</v>
      </c>
      <c r="G1965" s="46">
        <v>13.5</v>
      </c>
      <c r="H1965" s="3">
        <v>14.5</v>
      </c>
      <c r="I1965" s="46">
        <v>0</v>
      </c>
      <c r="J1965" s="55">
        <v>0</v>
      </c>
      <c r="K1965" s="1">
        <f t="shared" ref="K1965" si="2825">(IF(F1965="SELL",G1965-H1965,IF(F1965="BUY",H1965-G1965)))*E1965</f>
        <v>1800</v>
      </c>
      <c r="L1965" s="51">
        <v>0</v>
      </c>
      <c r="M1965" s="52">
        <f t="shared" si="2817"/>
        <v>0</v>
      </c>
      <c r="N1965" s="2">
        <f t="shared" si="2794"/>
        <v>1</v>
      </c>
      <c r="O1965" s="2">
        <f t="shared" si="2811"/>
        <v>1800</v>
      </c>
      <c r="P1965" s="13"/>
      <c r="Q1965" s="13"/>
      <c r="R1965" s="13"/>
      <c r="S1965" s="13"/>
      <c r="T1965" s="13"/>
      <c r="U1965" s="13"/>
      <c r="V1965" s="13"/>
      <c r="W1965" s="13"/>
      <c r="X1965" s="13"/>
      <c r="Y1965" s="13"/>
      <c r="Z1965" s="13"/>
      <c r="AA1965" s="13"/>
      <c r="AB1965" s="13"/>
      <c r="AC1965" s="13"/>
      <c r="AD1965" s="13"/>
      <c r="AE1965" s="13"/>
      <c r="AF1965" s="13"/>
      <c r="AG1965" s="13"/>
    </row>
    <row r="1966" spans="1:33" s="14" customFormat="1">
      <c r="A1966" s="10">
        <v>43231</v>
      </c>
      <c r="B1966" s="3" t="s">
        <v>172</v>
      </c>
      <c r="C1966" s="15" t="s">
        <v>47</v>
      </c>
      <c r="D1966" s="15">
        <v>320</v>
      </c>
      <c r="E1966" s="11">
        <v>1575</v>
      </c>
      <c r="F1966" s="3" t="s">
        <v>8</v>
      </c>
      <c r="G1966" s="46">
        <v>10.5</v>
      </c>
      <c r="H1966" s="3">
        <v>11.5</v>
      </c>
      <c r="I1966" s="46">
        <v>13</v>
      </c>
      <c r="J1966" s="55">
        <v>0</v>
      </c>
      <c r="K1966" s="1">
        <f t="shared" ref="K1966" si="2826">(IF(F1966="SELL",G1966-H1966,IF(F1966="BUY",H1966-G1966)))*E1966</f>
        <v>1575</v>
      </c>
      <c r="L1966" s="51">
        <f t="shared" ref="L1966" si="2827">(IF(F1966="SELL",IF(I1966="",0,H1966-I1966),IF(F1966="BUY",IF(I1966="",0,I1966-H1966))))*E1966</f>
        <v>2362.5</v>
      </c>
      <c r="M1966" s="52">
        <v>0</v>
      </c>
      <c r="N1966" s="2">
        <f t="shared" si="2794"/>
        <v>2.5</v>
      </c>
      <c r="O1966" s="2">
        <f t="shared" si="2811"/>
        <v>3937.5</v>
      </c>
      <c r="P1966" s="13"/>
      <c r="Q1966" s="13"/>
      <c r="R1966" s="13"/>
      <c r="S1966" s="13"/>
      <c r="T1966" s="13"/>
      <c r="U1966" s="13"/>
      <c r="V1966" s="13"/>
      <c r="W1966" s="13"/>
      <c r="X1966" s="13"/>
      <c r="Y1966" s="13"/>
      <c r="Z1966" s="13"/>
      <c r="AA1966" s="13"/>
      <c r="AB1966" s="13"/>
      <c r="AC1966" s="13"/>
      <c r="AD1966" s="13"/>
      <c r="AE1966" s="13"/>
      <c r="AF1966" s="13"/>
      <c r="AG1966" s="13"/>
    </row>
    <row r="1967" spans="1:33" s="14" customFormat="1">
      <c r="A1967" s="10">
        <v>43231</v>
      </c>
      <c r="B1967" s="3" t="s">
        <v>299</v>
      </c>
      <c r="C1967" s="15" t="s">
        <v>47</v>
      </c>
      <c r="D1967" s="15">
        <v>175</v>
      </c>
      <c r="E1967" s="11">
        <v>3000</v>
      </c>
      <c r="F1967" s="3" t="s">
        <v>8</v>
      </c>
      <c r="G1967" s="46">
        <v>4</v>
      </c>
      <c r="H1967" s="3">
        <v>4.5</v>
      </c>
      <c r="I1967" s="46">
        <v>0</v>
      </c>
      <c r="J1967" s="55">
        <v>0</v>
      </c>
      <c r="K1967" s="1">
        <f t="shared" ref="K1967" si="2828">(IF(F1967="SELL",G1967-H1967,IF(F1967="BUY",H1967-G1967)))*E1967</f>
        <v>1500</v>
      </c>
      <c r="L1967" s="51">
        <v>0</v>
      </c>
      <c r="M1967" s="52">
        <f t="shared" ref="M1967:M1973" si="2829">(IF(F1967="SELL",IF(J1967="",0,I1967-J1967),IF(F1967="BUY",IF(J1967="",0,(J1967-I1967)))))*E1967</f>
        <v>0</v>
      </c>
      <c r="N1967" s="2">
        <f t="shared" si="2794"/>
        <v>0.5</v>
      </c>
      <c r="O1967" s="2">
        <f t="shared" si="2811"/>
        <v>1500</v>
      </c>
      <c r="P1967" s="13"/>
      <c r="Q1967" s="13"/>
      <c r="R1967" s="13"/>
      <c r="S1967" s="13"/>
      <c r="T1967" s="13"/>
      <c r="U1967" s="13"/>
      <c r="V1967" s="13"/>
      <c r="W1967" s="13"/>
      <c r="X1967" s="13"/>
      <c r="Y1967" s="13"/>
      <c r="Z1967" s="13"/>
      <c r="AA1967" s="13"/>
      <c r="AB1967" s="13"/>
      <c r="AC1967" s="13"/>
      <c r="AD1967" s="13"/>
      <c r="AE1967" s="13"/>
      <c r="AF1967" s="13"/>
      <c r="AG1967" s="13"/>
    </row>
    <row r="1968" spans="1:33" s="14" customFormat="1">
      <c r="A1968" s="10">
        <v>43230</v>
      </c>
      <c r="B1968" s="3" t="s">
        <v>22</v>
      </c>
      <c r="C1968" s="15" t="s">
        <v>47</v>
      </c>
      <c r="D1968" s="15">
        <v>220</v>
      </c>
      <c r="E1968" s="11">
        <v>2500</v>
      </c>
      <c r="F1968" s="3" t="s">
        <v>8</v>
      </c>
      <c r="G1968" s="46">
        <v>6.7</v>
      </c>
      <c r="H1968" s="3">
        <v>7.5</v>
      </c>
      <c r="I1968" s="46">
        <v>0</v>
      </c>
      <c r="J1968" s="55">
        <v>0</v>
      </c>
      <c r="K1968" s="1">
        <f t="shared" ref="K1968" si="2830">(IF(F1968="SELL",G1968-H1968,IF(F1968="BUY",H1968-G1968)))*E1968</f>
        <v>1999.9999999999995</v>
      </c>
      <c r="L1968" s="51">
        <v>0</v>
      </c>
      <c r="M1968" s="52">
        <f t="shared" si="2829"/>
        <v>0</v>
      </c>
      <c r="N1968" s="2">
        <f t="shared" si="2794"/>
        <v>0.79999999999999982</v>
      </c>
      <c r="O1968" s="2">
        <f t="shared" si="2811"/>
        <v>1999.9999999999995</v>
      </c>
      <c r="P1968" s="13"/>
      <c r="Q1968" s="13"/>
      <c r="R1968" s="13"/>
      <c r="S1968" s="13"/>
      <c r="T1968" s="13"/>
      <c r="U1968" s="13"/>
      <c r="V1968" s="13"/>
      <c r="W1968" s="13"/>
      <c r="X1968" s="13"/>
      <c r="Y1968" s="13"/>
      <c r="Z1968" s="13"/>
      <c r="AA1968" s="13"/>
      <c r="AB1968" s="13"/>
      <c r="AC1968" s="13"/>
      <c r="AD1968" s="13"/>
      <c r="AE1968" s="13"/>
      <c r="AF1968" s="13"/>
      <c r="AG1968" s="13"/>
    </row>
    <row r="1969" spans="1:33" s="14" customFormat="1">
      <c r="A1969" s="10">
        <v>43230</v>
      </c>
      <c r="B1969" s="3" t="s">
        <v>298</v>
      </c>
      <c r="C1969" s="15" t="s">
        <v>46</v>
      </c>
      <c r="D1969" s="15">
        <v>500</v>
      </c>
      <c r="E1969" s="11">
        <v>2500</v>
      </c>
      <c r="F1969" s="3" t="s">
        <v>8</v>
      </c>
      <c r="G1969" s="46">
        <v>36</v>
      </c>
      <c r="H1969" s="3">
        <v>39</v>
      </c>
      <c r="I1969" s="46">
        <v>0</v>
      </c>
      <c r="J1969" s="55">
        <v>0</v>
      </c>
      <c r="K1969" s="1">
        <f t="shared" ref="K1969" si="2831">(IF(F1969="SELL",G1969-H1969,IF(F1969="BUY",H1969-G1969)))*E1969</f>
        <v>7500</v>
      </c>
      <c r="L1969" s="51">
        <v>0</v>
      </c>
      <c r="M1969" s="52">
        <f t="shared" si="2829"/>
        <v>0</v>
      </c>
      <c r="N1969" s="2">
        <f t="shared" si="2794"/>
        <v>3</v>
      </c>
      <c r="O1969" s="2">
        <f t="shared" si="2811"/>
        <v>7500</v>
      </c>
      <c r="P1969" s="13"/>
      <c r="Q1969" s="13"/>
      <c r="R1969" s="13"/>
      <c r="S1969" s="13"/>
      <c r="T1969" s="13"/>
      <c r="U1969" s="13"/>
      <c r="V1969" s="13"/>
      <c r="W1969" s="13"/>
      <c r="X1969" s="13"/>
      <c r="Y1969" s="13"/>
      <c r="Z1969" s="13"/>
      <c r="AA1969" s="13"/>
      <c r="AB1969" s="13"/>
      <c r="AC1969" s="13"/>
      <c r="AD1969" s="13"/>
      <c r="AE1969" s="13"/>
      <c r="AF1969" s="13"/>
      <c r="AG1969" s="13"/>
    </row>
    <row r="1970" spans="1:33" s="14" customFormat="1">
      <c r="A1970" s="10">
        <v>43230</v>
      </c>
      <c r="B1970" s="3" t="s">
        <v>192</v>
      </c>
      <c r="C1970" s="15" t="s">
        <v>47</v>
      </c>
      <c r="D1970" s="15">
        <v>1100</v>
      </c>
      <c r="E1970" s="11">
        <v>550</v>
      </c>
      <c r="F1970" s="3" t="s">
        <v>8</v>
      </c>
      <c r="G1970" s="46">
        <v>28</v>
      </c>
      <c r="H1970" s="3">
        <v>31</v>
      </c>
      <c r="I1970" s="46">
        <v>0</v>
      </c>
      <c r="J1970" s="55">
        <v>0</v>
      </c>
      <c r="K1970" s="1">
        <f t="shared" ref="K1970" si="2832">(IF(F1970="SELL",G1970-H1970,IF(F1970="BUY",H1970-G1970)))*E1970</f>
        <v>1650</v>
      </c>
      <c r="L1970" s="51">
        <v>0</v>
      </c>
      <c r="M1970" s="52">
        <f t="shared" si="2829"/>
        <v>0</v>
      </c>
      <c r="N1970" s="2">
        <f t="shared" si="2794"/>
        <v>3</v>
      </c>
      <c r="O1970" s="2">
        <f t="shared" si="2811"/>
        <v>1650</v>
      </c>
      <c r="P1970" s="13"/>
      <c r="Q1970" s="13"/>
      <c r="R1970" s="13"/>
      <c r="S1970" s="13"/>
      <c r="T1970" s="13"/>
      <c r="U1970" s="13"/>
      <c r="V1970" s="13"/>
      <c r="W1970" s="13"/>
      <c r="X1970" s="13"/>
      <c r="Y1970" s="13"/>
      <c r="Z1970" s="13"/>
      <c r="AA1970" s="13"/>
      <c r="AB1970" s="13"/>
      <c r="AC1970" s="13"/>
      <c r="AD1970" s="13"/>
      <c r="AE1970" s="13"/>
      <c r="AF1970" s="13"/>
      <c r="AG1970" s="13"/>
    </row>
    <row r="1971" spans="1:33" s="14" customFormat="1">
      <c r="A1971" s="10">
        <v>43229</v>
      </c>
      <c r="B1971" s="3" t="s">
        <v>297</v>
      </c>
      <c r="C1971" s="15" t="s">
        <v>46</v>
      </c>
      <c r="D1971" s="15">
        <v>105</v>
      </c>
      <c r="E1971" s="11">
        <v>5500</v>
      </c>
      <c r="F1971" s="3" t="s">
        <v>8</v>
      </c>
      <c r="G1971" s="46">
        <v>6.8</v>
      </c>
      <c r="H1971" s="3">
        <v>7.1</v>
      </c>
      <c r="I1971" s="46">
        <v>0</v>
      </c>
      <c r="J1971" s="55">
        <v>0</v>
      </c>
      <c r="K1971" s="1">
        <f t="shared" ref="K1971" si="2833">(IF(F1971="SELL",G1971-H1971,IF(F1971="BUY",H1971-G1971)))*E1971</f>
        <v>1649.9999999999991</v>
      </c>
      <c r="L1971" s="51">
        <v>0</v>
      </c>
      <c r="M1971" s="52">
        <f t="shared" si="2829"/>
        <v>0</v>
      </c>
      <c r="N1971" s="2">
        <f t="shared" si="2794"/>
        <v>0.29999999999999982</v>
      </c>
      <c r="O1971" s="2">
        <f t="shared" si="2811"/>
        <v>1649.9999999999991</v>
      </c>
      <c r="P1971" s="13"/>
      <c r="Q1971" s="13"/>
      <c r="R1971" s="13"/>
      <c r="S1971" s="13"/>
      <c r="T1971" s="13"/>
      <c r="U1971" s="13"/>
      <c r="V1971" s="13"/>
      <c r="W1971" s="13"/>
      <c r="X1971" s="13"/>
      <c r="Y1971" s="13"/>
      <c r="Z1971" s="13"/>
      <c r="AA1971" s="13"/>
      <c r="AB1971" s="13"/>
      <c r="AC1971" s="13"/>
      <c r="AD1971" s="13"/>
      <c r="AE1971" s="13"/>
      <c r="AF1971" s="13"/>
      <c r="AG1971" s="13"/>
    </row>
    <row r="1972" spans="1:33" s="14" customFormat="1">
      <c r="A1972" s="10">
        <v>43228</v>
      </c>
      <c r="B1972" s="3" t="s">
        <v>22</v>
      </c>
      <c r="C1972" s="15" t="s">
        <v>47</v>
      </c>
      <c r="D1972" s="15">
        <v>220</v>
      </c>
      <c r="E1972" s="11">
        <v>2500</v>
      </c>
      <c r="F1972" s="3" t="s">
        <v>8</v>
      </c>
      <c r="G1972" s="46">
        <v>8.8000000000000007</v>
      </c>
      <c r="H1972" s="3">
        <v>9.5</v>
      </c>
      <c r="I1972" s="46">
        <v>11</v>
      </c>
      <c r="J1972" s="55">
        <v>12.5</v>
      </c>
      <c r="K1972" s="1">
        <f t="shared" ref="K1972" si="2834">(IF(F1972="SELL",G1972-H1972,IF(F1972="BUY",H1972-G1972)))*E1972</f>
        <v>1749.9999999999982</v>
      </c>
      <c r="L1972" s="51">
        <f t="shared" ref="L1972" si="2835">(IF(F1972="SELL",IF(I1972="",0,H1972-I1972),IF(F1972="BUY",IF(I1972="",0,I1972-H1972))))*E1972</f>
        <v>3750</v>
      </c>
      <c r="M1972" s="52">
        <f t="shared" si="2829"/>
        <v>3750</v>
      </c>
      <c r="N1972" s="2">
        <f t="shared" si="2794"/>
        <v>3.6999999999999993</v>
      </c>
      <c r="O1972" s="2">
        <f t="shared" si="2811"/>
        <v>9249.9999999999982</v>
      </c>
      <c r="P1972" s="13"/>
      <c r="Q1972" s="13"/>
      <c r="R1972" s="13"/>
      <c r="S1972" s="13"/>
      <c r="T1972" s="13"/>
      <c r="U1972" s="13"/>
      <c r="V1972" s="13"/>
      <c r="W1972" s="13"/>
      <c r="X1972" s="13"/>
      <c r="Y1972" s="13"/>
      <c r="Z1972" s="13"/>
      <c r="AA1972" s="13"/>
      <c r="AB1972" s="13"/>
      <c r="AC1972" s="13"/>
      <c r="AD1972" s="13"/>
      <c r="AE1972" s="13"/>
      <c r="AF1972" s="13"/>
      <c r="AG1972" s="13"/>
    </row>
    <row r="1973" spans="1:33" s="14" customFormat="1">
      <c r="A1973" s="10">
        <v>43228</v>
      </c>
      <c r="B1973" s="3" t="s">
        <v>264</v>
      </c>
      <c r="C1973" s="15" t="s">
        <v>47</v>
      </c>
      <c r="D1973" s="15">
        <v>260</v>
      </c>
      <c r="E1973" s="11">
        <v>4500</v>
      </c>
      <c r="F1973" s="3" t="s">
        <v>8</v>
      </c>
      <c r="G1973" s="46">
        <v>9.5</v>
      </c>
      <c r="H1973" s="3">
        <v>10</v>
      </c>
      <c r="I1973" s="46">
        <v>11</v>
      </c>
      <c r="J1973" s="55">
        <v>12</v>
      </c>
      <c r="K1973" s="1">
        <f t="shared" ref="K1973" si="2836">(IF(F1973="SELL",G1973-H1973,IF(F1973="BUY",H1973-G1973)))*E1973</f>
        <v>2250</v>
      </c>
      <c r="L1973" s="51">
        <f t="shared" ref="L1973" si="2837">(IF(F1973="SELL",IF(I1973="",0,H1973-I1973),IF(F1973="BUY",IF(I1973="",0,I1973-H1973))))*E1973</f>
        <v>4500</v>
      </c>
      <c r="M1973" s="52">
        <f t="shared" si="2829"/>
        <v>4500</v>
      </c>
      <c r="N1973" s="2">
        <f t="shared" si="2794"/>
        <v>2.5</v>
      </c>
      <c r="O1973" s="2">
        <f t="shared" si="2811"/>
        <v>11250</v>
      </c>
      <c r="P1973" s="13"/>
      <c r="Q1973" s="13"/>
      <c r="R1973" s="13"/>
      <c r="S1973" s="13"/>
      <c r="T1973" s="13"/>
      <c r="U1973" s="13"/>
      <c r="V1973" s="13"/>
      <c r="W1973" s="13"/>
      <c r="X1973" s="13"/>
      <c r="Y1973" s="13"/>
      <c r="Z1973" s="13"/>
      <c r="AA1973" s="13"/>
      <c r="AB1973" s="13"/>
      <c r="AC1973" s="13"/>
      <c r="AD1973" s="13"/>
      <c r="AE1973" s="13"/>
      <c r="AF1973" s="13"/>
      <c r="AG1973" s="13"/>
    </row>
    <row r="1974" spans="1:33" s="14" customFormat="1">
      <c r="A1974" s="10">
        <v>43228</v>
      </c>
      <c r="B1974" s="3" t="s">
        <v>253</v>
      </c>
      <c r="C1974" s="15" t="s">
        <v>47</v>
      </c>
      <c r="D1974" s="15">
        <v>1060</v>
      </c>
      <c r="E1974" s="11">
        <v>1200</v>
      </c>
      <c r="F1974" s="3" t="s">
        <v>8</v>
      </c>
      <c r="G1974" s="46">
        <v>33</v>
      </c>
      <c r="H1974" s="3">
        <v>34.5</v>
      </c>
      <c r="I1974" s="46">
        <v>0</v>
      </c>
      <c r="J1974" s="55">
        <v>0</v>
      </c>
      <c r="K1974" s="1">
        <f t="shared" ref="K1974" si="2838">(IF(F1974="SELL",G1974-H1974,IF(F1974="BUY",H1974-G1974)))*E1974</f>
        <v>1800</v>
      </c>
      <c r="L1974" s="51">
        <v>0</v>
      </c>
      <c r="M1974" s="52">
        <v>0</v>
      </c>
      <c r="N1974" s="2">
        <f t="shared" si="2794"/>
        <v>1.5</v>
      </c>
      <c r="O1974" s="2">
        <f t="shared" si="2811"/>
        <v>1800</v>
      </c>
      <c r="P1974" s="13"/>
      <c r="Q1974" s="13"/>
      <c r="R1974" s="13"/>
      <c r="S1974" s="13"/>
      <c r="T1974" s="13"/>
      <c r="U1974" s="13"/>
      <c r="V1974" s="13"/>
      <c r="W1974" s="13"/>
      <c r="X1974" s="13"/>
      <c r="Y1974" s="13"/>
      <c r="Z1974" s="13"/>
      <c r="AA1974" s="13"/>
      <c r="AB1974" s="13"/>
      <c r="AC1974" s="13"/>
      <c r="AD1974" s="13"/>
      <c r="AE1974" s="13"/>
      <c r="AF1974" s="13"/>
      <c r="AG1974" s="13"/>
    </row>
    <row r="1975" spans="1:33" s="14" customFormat="1">
      <c r="A1975" s="10">
        <v>43227</v>
      </c>
      <c r="B1975" s="3" t="s">
        <v>96</v>
      </c>
      <c r="C1975" s="15" t="s">
        <v>47</v>
      </c>
      <c r="D1975" s="15">
        <v>890</v>
      </c>
      <c r="E1975" s="11">
        <v>1000</v>
      </c>
      <c r="F1975" s="3" t="s">
        <v>8</v>
      </c>
      <c r="G1975" s="46">
        <v>19</v>
      </c>
      <c r="H1975" s="3">
        <v>20.5</v>
      </c>
      <c r="I1975" s="46">
        <v>22</v>
      </c>
      <c r="J1975" s="55">
        <v>0</v>
      </c>
      <c r="K1975" s="1">
        <f t="shared" ref="K1975" si="2839">(IF(F1975="SELL",G1975-H1975,IF(F1975="BUY",H1975-G1975)))*E1975</f>
        <v>1500</v>
      </c>
      <c r="L1975" s="51">
        <f t="shared" ref="L1975" si="2840">(IF(F1975="SELL",IF(I1975="",0,H1975-I1975),IF(F1975="BUY",IF(I1975="",0,I1975-H1975))))*E1975</f>
        <v>1500</v>
      </c>
      <c r="M1975" s="52">
        <v>0</v>
      </c>
      <c r="N1975" s="2">
        <f t="shared" si="2794"/>
        <v>3</v>
      </c>
      <c r="O1975" s="2">
        <f t="shared" si="2811"/>
        <v>3000</v>
      </c>
      <c r="P1975" s="13"/>
      <c r="Q1975" s="13"/>
      <c r="R1975" s="13"/>
      <c r="S1975" s="13"/>
      <c r="T1975" s="13"/>
      <c r="U1975" s="13"/>
      <c r="V1975" s="13"/>
      <c r="W1975" s="13"/>
      <c r="X1975" s="13"/>
      <c r="Y1975" s="13"/>
      <c r="Z1975" s="13"/>
      <c r="AA1975" s="13"/>
      <c r="AB1975" s="13"/>
      <c r="AC1975" s="13"/>
      <c r="AD1975" s="13"/>
      <c r="AE1975" s="13"/>
      <c r="AF1975" s="13"/>
      <c r="AG1975" s="13"/>
    </row>
    <row r="1976" spans="1:33" s="14" customFormat="1">
      <c r="A1976" s="10">
        <v>43227</v>
      </c>
      <c r="B1976" s="3" t="s">
        <v>209</v>
      </c>
      <c r="C1976" s="15" t="s">
        <v>47</v>
      </c>
      <c r="D1976" s="15">
        <v>640</v>
      </c>
      <c r="E1976" s="11">
        <v>1000</v>
      </c>
      <c r="F1976" s="3" t="s">
        <v>8</v>
      </c>
      <c r="G1976" s="46">
        <v>19</v>
      </c>
      <c r="H1976" s="3">
        <v>21</v>
      </c>
      <c r="I1976" s="46">
        <v>0</v>
      </c>
      <c r="J1976" s="55">
        <v>0</v>
      </c>
      <c r="K1976" s="1">
        <f t="shared" ref="K1976" si="2841">(IF(F1976="SELL",G1976-H1976,IF(F1976="BUY",H1976-G1976)))*E1976</f>
        <v>2000</v>
      </c>
      <c r="L1976" s="51">
        <v>0</v>
      </c>
      <c r="M1976" s="52">
        <v>0</v>
      </c>
      <c r="N1976" s="2">
        <f t="shared" si="2794"/>
        <v>2</v>
      </c>
      <c r="O1976" s="2">
        <f t="shared" si="2811"/>
        <v>2000</v>
      </c>
      <c r="P1976" s="13"/>
      <c r="Q1976" s="13"/>
      <c r="R1976" s="13"/>
      <c r="S1976" s="13"/>
      <c r="T1976" s="13"/>
      <c r="U1976" s="13"/>
      <c r="V1976" s="13"/>
      <c r="W1976" s="13"/>
      <c r="X1976" s="13"/>
      <c r="Y1976" s="13"/>
      <c r="Z1976" s="13"/>
      <c r="AA1976" s="13"/>
      <c r="AB1976" s="13"/>
      <c r="AC1976" s="13"/>
      <c r="AD1976" s="13"/>
      <c r="AE1976" s="13"/>
      <c r="AF1976" s="13"/>
      <c r="AG1976" s="13"/>
    </row>
    <row r="1977" spans="1:33" s="14" customFormat="1">
      <c r="A1977" s="10">
        <v>43227</v>
      </c>
      <c r="B1977" s="3" t="s">
        <v>96</v>
      </c>
      <c r="C1977" s="15" t="s">
        <v>47</v>
      </c>
      <c r="D1977" s="15">
        <v>890</v>
      </c>
      <c r="E1977" s="11">
        <v>1000</v>
      </c>
      <c r="F1977" s="3" t="s">
        <v>8</v>
      </c>
      <c r="G1977" s="46">
        <v>17.149999999999999</v>
      </c>
      <c r="H1977" s="3">
        <v>18.5</v>
      </c>
      <c r="I1977" s="46">
        <v>0</v>
      </c>
      <c r="J1977" s="55">
        <v>0</v>
      </c>
      <c r="K1977" s="1">
        <f t="shared" ref="K1977" si="2842">(IF(F1977="SELL",G1977-H1977,IF(F1977="BUY",H1977-G1977)))*E1977</f>
        <v>1350.0000000000014</v>
      </c>
      <c r="L1977" s="51">
        <v>0</v>
      </c>
      <c r="M1977" s="52">
        <f>(IF(F1977="SELL",IF(J1977="",0,I1977-J1977),IF(F1977="BUY",IF(J1977="",0,(J1977-I1977)))))*E1977</f>
        <v>0</v>
      </c>
      <c r="N1977" s="2">
        <f t="shared" si="2794"/>
        <v>1.3500000000000014</v>
      </c>
      <c r="O1977" s="2">
        <f t="shared" si="2811"/>
        <v>1350.0000000000014</v>
      </c>
      <c r="P1977" s="13"/>
      <c r="Q1977" s="13"/>
      <c r="R1977" s="13"/>
      <c r="S1977" s="13"/>
      <c r="T1977" s="13"/>
      <c r="U1977" s="13"/>
      <c r="V1977" s="13"/>
      <c r="W1977" s="13"/>
      <c r="X1977" s="13"/>
      <c r="Y1977" s="13"/>
      <c r="Z1977" s="13"/>
      <c r="AA1977" s="13"/>
      <c r="AB1977" s="13"/>
      <c r="AC1977" s="13"/>
      <c r="AD1977" s="13"/>
      <c r="AE1977" s="13"/>
      <c r="AF1977" s="13"/>
      <c r="AG1977" s="13"/>
    </row>
    <row r="1978" spans="1:33" s="14" customFormat="1">
      <c r="A1978" s="10">
        <v>43224</v>
      </c>
      <c r="B1978" s="3" t="s">
        <v>211</v>
      </c>
      <c r="C1978" s="15" t="s">
        <v>47</v>
      </c>
      <c r="D1978" s="15">
        <v>1080</v>
      </c>
      <c r="E1978" s="11">
        <v>700</v>
      </c>
      <c r="F1978" s="3" t="s">
        <v>8</v>
      </c>
      <c r="G1978" s="46">
        <v>45</v>
      </c>
      <c r="H1978" s="3">
        <v>50</v>
      </c>
      <c r="I1978" s="46">
        <v>55</v>
      </c>
      <c r="J1978" s="55">
        <v>60</v>
      </c>
      <c r="K1978" s="1">
        <f t="shared" ref="K1978" si="2843">(IF(F1978="SELL",G1978-H1978,IF(F1978="BUY",H1978-G1978)))*E1978</f>
        <v>3500</v>
      </c>
      <c r="L1978" s="51">
        <f t="shared" ref="L1978" si="2844">(IF(F1978="SELL",IF(I1978="",0,H1978-I1978),IF(F1978="BUY",IF(I1978="",0,I1978-H1978))))*E1978</f>
        <v>3500</v>
      </c>
      <c r="M1978" s="52">
        <f>(IF(F1978="SELL",IF(J1978="",0,I1978-J1978),IF(F1978="BUY",IF(J1978="",0,(J1978-I1978)))))*E1978</f>
        <v>3500</v>
      </c>
      <c r="N1978" s="2">
        <f t="shared" si="2794"/>
        <v>15</v>
      </c>
      <c r="O1978" s="2">
        <f t="shared" si="2811"/>
        <v>10500</v>
      </c>
      <c r="P1978" s="13"/>
      <c r="Q1978" s="13"/>
      <c r="R1978" s="13"/>
      <c r="S1978" s="13"/>
      <c r="T1978" s="13"/>
      <c r="U1978" s="13"/>
      <c r="V1978" s="13"/>
      <c r="W1978" s="13"/>
      <c r="X1978" s="13"/>
      <c r="Y1978" s="13"/>
      <c r="Z1978" s="13"/>
      <c r="AA1978" s="13"/>
      <c r="AB1978" s="13"/>
      <c r="AC1978" s="13"/>
      <c r="AD1978" s="13"/>
      <c r="AE1978" s="13"/>
      <c r="AF1978" s="13"/>
      <c r="AG1978" s="13"/>
    </row>
    <row r="1979" spans="1:33" s="14" customFormat="1">
      <c r="A1979" s="10">
        <v>43224</v>
      </c>
      <c r="B1979" s="3" t="s">
        <v>170</v>
      </c>
      <c r="C1979" s="15" t="s">
        <v>47</v>
      </c>
      <c r="D1979" s="15">
        <v>145</v>
      </c>
      <c r="E1979" s="11">
        <v>4000</v>
      </c>
      <c r="F1979" s="3" t="s">
        <v>8</v>
      </c>
      <c r="G1979" s="46">
        <v>7.5</v>
      </c>
      <c r="H1979" s="3">
        <v>5.5</v>
      </c>
      <c r="I1979" s="46">
        <v>0</v>
      </c>
      <c r="J1979" s="55">
        <v>0</v>
      </c>
      <c r="K1979" s="1">
        <f t="shared" ref="K1979" si="2845">(IF(F1979="SELL",G1979-H1979,IF(F1979="BUY",H1979-G1979)))*E1979</f>
        <v>-8000</v>
      </c>
      <c r="L1979" s="51">
        <v>0</v>
      </c>
      <c r="M1979" s="52">
        <v>0</v>
      </c>
      <c r="N1979" s="2">
        <f t="shared" si="2794"/>
        <v>-2</v>
      </c>
      <c r="O1979" s="2">
        <f t="shared" si="2811"/>
        <v>-8000</v>
      </c>
      <c r="P1979" s="13"/>
      <c r="Q1979" s="13"/>
      <c r="R1979" s="13"/>
      <c r="S1979" s="13"/>
      <c r="T1979" s="13"/>
      <c r="U1979" s="13"/>
      <c r="V1979" s="13"/>
      <c r="W1979" s="13"/>
      <c r="X1979" s="13"/>
      <c r="Y1979" s="13"/>
      <c r="Z1979" s="13"/>
      <c r="AA1979" s="13"/>
      <c r="AB1979" s="13"/>
      <c r="AC1979" s="13"/>
      <c r="AD1979" s="13"/>
      <c r="AE1979" s="13"/>
      <c r="AF1979" s="13"/>
      <c r="AG1979" s="13"/>
    </row>
    <row r="1980" spans="1:33" s="14" customFormat="1">
      <c r="A1980" s="10">
        <v>43224</v>
      </c>
      <c r="B1980" s="3" t="s">
        <v>144</v>
      </c>
      <c r="C1980" s="15" t="s">
        <v>47</v>
      </c>
      <c r="D1980" s="15">
        <v>420</v>
      </c>
      <c r="E1980" s="11">
        <v>1700</v>
      </c>
      <c r="F1980" s="3" t="s">
        <v>8</v>
      </c>
      <c r="G1980" s="46">
        <v>12.5</v>
      </c>
      <c r="H1980" s="3">
        <v>9.5</v>
      </c>
      <c r="I1980" s="46">
        <v>0</v>
      </c>
      <c r="J1980" s="55">
        <v>0</v>
      </c>
      <c r="K1980" s="1">
        <f t="shared" ref="K1980" si="2846">(IF(F1980="SELL",G1980-H1980,IF(F1980="BUY",H1980-G1980)))*E1980</f>
        <v>-5100</v>
      </c>
      <c r="L1980" s="51">
        <v>0</v>
      </c>
      <c r="M1980" s="52">
        <f>(IF(F1980="SELL",IF(J1980="",0,I1980-J1980),IF(F1980="BUY",IF(J1980="",0,(J1980-I1980)))))*E1980</f>
        <v>0</v>
      </c>
      <c r="N1980" s="2">
        <f t="shared" si="2794"/>
        <v>-3</v>
      </c>
      <c r="O1980" s="2">
        <f t="shared" si="2811"/>
        <v>-5100</v>
      </c>
      <c r="P1980" s="13"/>
      <c r="Q1980" s="13"/>
      <c r="R1980" s="13"/>
      <c r="S1980" s="13"/>
      <c r="T1980" s="13"/>
      <c r="U1980" s="13"/>
      <c r="V1980" s="13"/>
      <c r="W1980" s="13"/>
      <c r="X1980" s="13"/>
      <c r="Y1980" s="13"/>
      <c r="Z1980" s="13"/>
      <c r="AA1980" s="13"/>
      <c r="AB1980" s="13"/>
      <c r="AC1980" s="13"/>
      <c r="AD1980" s="13"/>
      <c r="AE1980" s="13"/>
      <c r="AF1980" s="13"/>
      <c r="AG1980" s="13"/>
    </row>
    <row r="1981" spans="1:33" s="14" customFormat="1">
      <c r="A1981" s="10">
        <v>43223</v>
      </c>
      <c r="B1981" s="3" t="s">
        <v>107</v>
      </c>
      <c r="C1981" s="15" t="s">
        <v>47</v>
      </c>
      <c r="D1981" s="15">
        <v>530</v>
      </c>
      <c r="E1981" s="11">
        <v>1100</v>
      </c>
      <c r="F1981" s="3" t="s">
        <v>8</v>
      </c>
      <c r="G1981" s="46">
        <v>13.8</v>
      </c>
      <c r="H1981" s="3">
        <v>15</v>
      </c>
      <c r="I1981" s="46">
        <v>17.5</v>
      </c>
      <c r="J1981" s="55">
        <v>22</v>
      </c>
      <c r="K1981" s="1">
        <f t="shared" ref="K1981" si="2847">(IF(F1981="SELL",G1981-H1981,IF(F1981="BUY",H1981-G1981)))*E1981</f>
        <v>1319.9999999999993</v>
      </c>
      <c r="L1981" s="51">
        <f t="shared" ref="L1981" si="2848">(IF(F1981="SELL",IF(I1981="",0,H1981-I1981),IF(F1981="BUY",IF(I1981="",0,I1981-H1981))))*E1981</f>
        <v>2750</v>
      </c>
      <c r="M1981" s="52">
        <f>(IF(F1981="SELL",IF(J1981="",0,I1981-J1981),IF(F1981="BUY",IF(J1981="",0,(J1981-I1981)))))*E1981</f>
        <v>4950</v>
      </c>
      <c r="N1981" s="2">
        <f t="shared" si="2794"/>
        <v>8.1999999999999993</v>
      </c>
      <c r="O1981" s="2">
        <f t="shared" si="2811"/>
        <v>9020</v>
      </c>
      <c r="P1981" s="13"/>
      <c r="Q1981" s="13"/>
      <c r="R1981" s="13"/>
      <c r="S1981" s="13"/>
      <c r="T1981" s="13"/>
      <c r="U1981" s="13"/>
      <c r="V1981" s="13"/>
      <c r="W1981" s="13"/>
      <c r="X1981" s="13"/>
      <c r="Y1981" s="13"/>
      <c r="Z1981" s="13"/>
      <c r="AA1981" s="13"/>
      <c r="AB1981" s="13"/>
      <c r="AC1981" s="13"/>
      <c r="AD1981" s="13"/>
      <c r="AE1981" s="13"/>
      <c r="AF1981" s="13"/>
      <c r="AG1981" s="13"/>
    </row>
    <row r="1982" spans="1:33" s="14" customFormat="1">
      <c r="A1982" s="10">
        <v>43223</v>
      </c>
      <c r="B1982" s="3" t="s">
        <v>296</v>
      </c>
      <c r="C1982" s="15" t="s">
        <v>47</v>
      </c>
      <c r="D1982" s="15">
        <v>1880</v>
      </c>
      <c r="E1982" s="11">
        <v>300</v>
      </c>
      <c r="F1982" s="3" t="s">
        <v>8</v>
      </c>
      <c r="G1982" s="46">
        <v>28</v>
      </c>
      <c r="H1982" s="3">
        <v>32</v>
      </c>
      <c r="I1982" s="46">
        <v>37.549999999999997</v>
      </c>
      <c r="J1982" s="55">
        <v>0</v>
      </c>
      <c r="K1982" s="1">
        <f t="shared" ref="K1982" si="2849">(IF(F1982="SELL",G1982-H1982,IF(F1982="BUY",H1982-G1982)))*E1982</f>
        <v>1200</v>
      </c>
      <c r="L1982" s="51">
        <f t="shared" ref="L1982" si="2850">(IF(F1982="SELL",IF(I1982="",0,H1982-I1982),IF(F1982="BUY",IF(I1982="",0,I1982-H1982))))*E1982</f>
        <v>1664.9999999999991</v>
      </c>
      <c r="M1982" s="52">
        <v>0</v>
      </c>
      <c r="N1982" s="2">
        <f t="shared" si="2794"/>
        <v>9.5499999999999972</v>
      </c>
      <c r="O1982" s="2">
        <f t="shared" si="2811"/>
        <v>2864.9999999999991</v>
      </c>
      <c r="P1982" s="13"/>
      <c r="Q1982" s="13"/>
      <c r="R1982" s="13"/>
      <c r="S1982" s="13"/>
      <c r="T1982" s="13"/>
      <c r="U1982" s="13"/>
      <c r="V1982" s="13"/>
      <c r="W1982" s="13"/>
      <c r="X1982" s="13"/>
      <c r="Y1982" s="13"/>
      <c r="Z1982" s="13"/>
      <c r="AA1982" s="13"/>
      <c r="AB1982" s="13"/>
      <c r="AC1982" s="13"/>
      <c r="AD1982" s="13"/>
      <c r="AE1982" s="13"/>
      <c r="AF1982" s="13"/>
      <c r="AG1982" s="13"/>
    </row>
    <row r="1983" spans="1:33" s="14" customFormat="1">
      <c r="A1983" s="10">
        <v>43223</v>
      </c>
      <c r="B1983" s="3" t="s">
        <v>295</v>
      </c>
      <c r="C1983" s="15" t="s">
        <v>47</v>
      </c>
      <c r="D1983" s="15">
        <v>880</v>
      </c>
      <c r="E1983" s="11">
        <v>700</v>
      </c>
      <c r="F1983" s="3" t="s">
        <v>8</v>
      </c>
      <c r="G1983" s="46">
        <v>26</v>
      </c>
      <c r="H1983" s="3">
        <v>30</v>
      </c>
      <c r="I1983" s="46">
        <v>0</v>
      </c>
      <c r="J1983" s="55">
        <v>0</v>
      </c>
      <c r="K1983" s="1">
        <f t="shared" ref="K1983" si="2851">(IF(F1983="SELL",G1983-H1983,IF(F1983="BUY",H1983-G1983)))*E1983</f>
        <v>2800</v>
      </c>
      <c r="L1983" s="51">
        <v>0</v>
      </c>
      <c r="M1983" s="52">
        <f>(IF(F1983="SELL",IF(J1983="",0,I1983-J1983),IF(F1983="BUY",IF(J1983="",0,(J1983-I1983)))))*E1983</f>
        <v>0</v>
      </c>
      <c r="N1983" s="2">
        <f t="shared" si="2794"/>
        <v>4</v>
      </c>
      <c r="O1983" s="2">
        <f t="shared" si="2811"/>
        <v>2800</v>
      </c>
      <c r="P1983" s="13"/>
      <c r="Q1983" s="13"/>
      <c r="R1983" s="13"/>
      <c r="S1983" s="13"/>
      <c r="T1983" s="13"/>
      <c r="U1983" s="13"/>
      <c r="V1983" s="13"/>
      <c r="W1983" s="13"/>
      <c r="X1983" s="13"/>
      <c r="Y1983" s="13"/>
      <c r="Z1983" s="13"/>
      <c r="AA1983" s="13"/>
      <c r="AB1983" s="13"/>
      <c r="AC1983" s="13"/>
      <c r="AD1983" s="13"/>
      <c r="AE1983" s="13"/>
      <c r="AF1983" s="13"/>
      <c r="AG1983" s="13"/>
    </row>
    <row r="1984" spans="1:33" s="14" customFormat="1">
      <c r="A1984" s="10">
        <v>43223</v>
      </c>
      <c r="B1984" s="3" t="s">
        <v>22</v>
      </c>
      <c r="C1984" s="15" t="s">
        <v>47</v>
      </c>
      <c r="D1984" s="15">
        <v>220</v>
      </c>
      <c r="E1984" s="11">
        <v>2500</v>
      </c>
      <c r="F1984" s="3" t="s">
        <v>8</v>
      </c>
      <c r="G1984" s="46">
        <v>6.5</v>
      </c>
      <c r="H1984" s="3">
        <v>7</v>
      </c>
      <c r="I1984" s="46">
        <v>7.6</v>
      </c>
      <c r="J1984" s="55">
        <v>0</v>
      </c>
      <c r="K1984" s="1">
        <f t="shared" ref="K1984" si="2852">(IF(F1984="SELL",G1984-H1984,IF(F1984="BUY",H1984-G1984)))*E1984</f>
        <v>1250</v>
      </c>
      <c r="L1984" s="51">
        <f t="shared" ref="L1984" si="2853">(IF(F1984="SELL",IF(I1984="",0,H1984-I1984),IF(F1984="BUY",IF(I1984="",0,I1984-H1984))))*E1984</f>
        <v>1499.9999999999991</v>
      </c>
      <c r="M1984" s="52">
        <v>0</v>
      </c>
      <c r="N1984" s="2">
        <f t="shared" si="2794"/>
        <v>1.0999999999999996</v>
      </c>
      <c r="O1984" s="2">
        <f t="shared" si="2811"/>
        <v>2749.9999999999991</v>
      </c>
      <c r="P1984" s="13"/>
      <c r="Q1984" s="13"/>
      <c r="R1984" s="13"/>
      <c r="S1984" s="13"/>
      <c r="T1984" s="13"/>
      <c r="U1984" s="13"/>
      <c r="V1984" s="13"/>
      <c r="W1984" s="13"/>
      <c r="X1984" s="13"/>
      <c r="Y1984" s="13"/>
      <c r="Z1984" s="13"/>
      <c r="AA1984" s="13"/>
      <c r="AB1984" s="13"/>
      <c r="AC1984" s="13"/>
      <c r="AD1984" s="13"/>
      <c r="AE1984" s="13"/>
      <c r="AF1984" s="13"/>
      <c r="AG1984" s="13"/>
    </row>
    <row r="1985" spans="1:33" s="14" customFormat="1">
      <c r="A1985" s="10">
        <v>43222</v>
      </c>
      <c r="B1985" s="3" t="s">
        <v>169</v>
      </c>
      <c r="C1985" s="15" t="s">
        <v>47</v>
      </c>
      <c r="D1985" s="15">
        <v>920</v>
      </c>
      <c r="E1985" s="11">
        <v>1000</v>
      </c>
      <c r="F1985" s="3" t="s">
        <v>8</v>
      </c>
      <c r="G1985" s="46">
        <v>26</v>
      </c>
      <c r="H1985" s="3">
        <v>27.5</v>
      </c>
      <c r="I1985" s="46">
        <v>29</v>
      </c>
      <c r="J1985" s="55">
        <v>31</v>
      </c>
      <c r="K1985" s="1">
        <f t="shared" ref="K1985:K1986" si="2854">(IF(F1985="SELL",G1985-H1985,IF(F1985="BUY",H1985-G1985)))*E1985</f>
        <v>1500</v>
      </c>
      <c r="L1985" s="51">
        <f t="shared" ref="L1985:L1986" si="2855">(IF(F1985="SELL",IF(I1985="",0,H1985-I1985),IF(F1985="BUY",IF(I1985="",0,I1985-H1985))))*E1985</f>
        <v>1500</v>
      </c>
      <c r="M1985" s="52">
        <f>(IF(F1985="SELL",IF(J1985="",0,I1985-J1985),IF(F1985="BUY",IF(J1985="",0,(J1985-I1985)))))*E1985</f>
        <v>2000</v>
      </c>
      <c r="N1985" s="2">
        <f t="shared" si="2794"/>
        <v>5</v>
      </c>
      <c r="O1985" s="2">
        <f t="shared" si="2811"/>
        <v>5000</v>
      </c>
      <c r="P1985" s="13"/>
      <c r="Q1985" s="13"/>
      <c r="R1985" s="13"/>
      <c r="S1985" s="13"/>
      <c r="T1985" s="13"/>
      <c r="U1985" s="13"/>
      <c r="V1985" s="13"/>
      <c r="W1985" s="13"/>
      <c r="X1985" s="13"/>
      <c r="Y1985" s="13"/>
      <c r="Z1985" s="13"/>
      <c r="AA1985" s="13"/>
      <c r="AB1985" s="13"/>
      <c r="AC1985" s="13"/>
      <c r="AD1985" s="13"/>
      <c r="AE1985" s="13"/>
      <c r="AF1985" s="13"/>
      <c r="AG1985" s="13"/>
    </row>
    <row r="1986" spans="1:33" s="14" customFormat="1">
      <c r="A1986" s="10">
        <v>43222</v>
      </c>
      <c r="B1986" s="3" t="s">
        <v>169</v>
      </c>
      <c r="C1986" s="15" t="s">
        <v>47</v>
      </c>
      <c r="D1986" s="15">
        <v>920</v>
      </c>
      <c r="E1986" s="11">
        <v>1000</v>
      </c>
      <c r="F1986" s="3" t="s">
        <v>8</v>
      </c>
      <c r="G1986" s="46">
        <v>24</v>
      </c>
      <c r="H1986" s="3">
        <v>25</v>
      </c>
      <c r="I1986" s="46">
        <v>27</v>
      </c>
      <c r="J1986" s="55">
        <v>0</v>
      </c>
      <c r="K1986" s="1">
        <f t="shared" si="2854"/>
        <v>1000</v>
      </c>
      <c r="L1986" s="51">
        <f t="shared" si="2855"/>
        <v>2000</v>
      </c>
      <c r="M1986" s="52">
        <v>0</v>
      </c>
      <c r="N1986" s="2">
        <f t="shared" si="2794"/>
        <v>3</v>
      </c>
      <c r="O1986" s="2">
        <f t="shared" si="2811"/>
        <v>3000</v>
      </c>
      <c r="P1986" s="13"/>
      <c r="Q1986" s="13"/>
      <c r="R1986" s="13"/>
      <c r="S1986" s="13"/>
      <c r="T1986" s="13"/>
      <c r="U1986" s="13"/>
      <c r="V1986" s="13"/>
      <c r="W1986" s="13"/>
      <c r="X1986" s="13"/>
      <c r="Y1986" s="13"/>
      <c r="Z1986" s="13"/>
      <c r="AA1986" s="13"/>
      <c r="AB1986" s="13"/>
      <c r="AC1986" s="13"/>
      <c r="AD1986" s="13"/>
      <c r="AE1986" s="13"/>
      <c r="AF1986" s="13"/>
      <c r="AG1986" s="13"/>
    </row>
    <row r="1987" spans="1:33" s="14" customFormat="1">
      <c r="A1987" s="10">
        <v>43220</v>
      </c>
      <c r="B1987" s="3" t="s">
        <v>294</v>
      </c>
      <c r="C1987" s="15" t="s">
        <v>47</v>
      </c>
      <c r="D1987" s="15">
        <v>290</v>
      </c>
      <c r="E1987" s="11">
        <v>2500</v>
      </c>
      <c r="F1987" s="3" t="s">
        <v>8</v>
      </c>
      <c r="G1987" s="46">
        <v>15</v>
      </c>
      <c r="H1987" s="3">
        <v>15.8</v>
      </c>
      <c r="I1987" s="46">
        <v>17</v>
      </c>
      <c r="J1987" s="55">
        <v>0</v>
      </c>
      <c r="K1987" s="1">
        <f t="shared" ref="K1987" si="2856">(IF(F1987="SELL",G1987-H1987,IF(F1987="BUY",H1987-G1987)))*E1987</f>
        <v>2000.0000000000018</v>
      </c>
      <c r="L1987" s="51">
        <v>0</v>
      </c>
      <c r="M1987" s="52">
        <v>0</v>
      </c>
      <c r="N1987" s="2">
        <f t="shared" si="2794"/>
        <v>0.80000000000000071</v>
      </c>
      <c r="O1987" s="2">
        <f t="shared" si="2811"/>
        <v>2000.0000000000018</v>
      </c>
      <c r="P1987" s="13"/>
      <c r="Q1987" s="13"/>
      <c r="R1987" s="13"/>
      <c r="S1987" s="13"/>
      <c r="T1987" s="13"/>
      <c r="U1987" s="13"/>
      <c r="V1987" s="13"/>
      <c r="W1987" s="13"/>
      <c r="X1987" s="13"/>
      <c r="Y1987" s="13"/>
      <c r="Z1987" s="13"/>
      <c r="AA1987" s="13"/>
      <c r="AB1987" s="13"/>
      <c r="AC1987" s="13"/>
      <c r="AD1987" s="13"/>
      <c r="AE1987" s="13"/>
      <c r="AF1987" s="13"/>
      <c r="AG1987" s="13"/>
    </row>
    <row r="1988" spans="1:33" s="14" customFormat="1">
      <c r="A1988" s="10">
        <v>43220</v>
      </c>
      <c r="B1988" s="3" t="s">
        <v>293</v>
      </c>
      <c r="C1988" s="15" t="s">
        <v>46</v>
      </c>
      <c r="D1988" s="15">
        <v>520</v>
      </c>
      <c r="E1988" s="11">
        <v>1200</v>
      </c>
      <c r="F1988" s="3" t="s">
        <v>8</v>
      </c>
      <c r="G1988" s="46">
        <v>17.5</v>
      </c>
      <c r="H1988" s="3">
        <v>18.7</v>
      </c>
      <c r="I1988" s="46">
        <v>0</v>
      </c>
      <c r="J1988" s="55">
        <v>0</v>
      </c>
      <c r="K1988" s="1">
        <f t="shared" ref="K1988" si="2857">(IF(F1988="SELL",G1988-H1988,IF(F1988="BUY",H1988-G1988)))*E1988</f>
        <v>1439.9999999999991</v>
      </c>
      <c r="L1988" s="51">
        <v>0</v>
      </c>
      <c r="M1988" s="52">
        <f>(IF(F1988="SELL",IF(J1988="",0,I1988-J1988),IF(F1988="BUY",IF(J1988="",0,(J1988-I1988)))))*E1988</f>
        <v>0</v>
      </c>
      <c r="N1988" s="2">
        <f t="shared" si="2794"/>
        <v>1.1999999999999993</v>
      </c>
      <c r="O1988" s="2">
        <f t="shared" si="2811"/>
        <v>1439.9999999999991</v>
      </c>
      <c r="P1988" s="13"/>
      <c r="Q1988" s="13"/>
      <c r="R1988" s="13"/>
      <c r="S1988" s="13"/>
      <c r="T1988" s="13"/>
      <c r="U1988" s="13"/>
      <c r="V1988" s="13"/>
      <c r="W1988" s="13"/>
      <c r="X1988" s="13"/>
      <c r="Y1988" s="13"/>
      <c r="Z1988" s="13"/>
      <c r="AA1988" s="13"/>
      <c r="AB1988" s="13"/>
      <c r="AC1988" s="13"/>
      <c r="AD1988" s="13"/>
      <c r="AE1988" s="13"/>
      <c r="AF1988" s="13"/>
      <c r="AG1988" s="13"/>
    </row>
    <row r="1989" spans="1:33" s="14" customFormat="1">
      <c r="A1989" s="10">
        <v>43217</v>
      </c>
      <c r="B1989" s="3" t="s">
        <v>292</v>
      </c>
      <c r="C1989" s="15" t="s">
        <v>47</v>
      </c>
      <c r="D1989" s="15">
        <v>150</v>
      </c>
      <c r="E1989" s="11">
        <v>4000</v>
      </c>
      <c r="F1989" s="3" t="s">
        <v>8</v>
      </c>
      <c r="G1989" s="46">
        <v>4.8</v>
      </c>
      <c r="H1989" s="3">
        <v>5.3</v>
      </c>
      <c r="I1989" s="46">
        <v>6</v>
      </c>
      <c r="J1989" s="55">
        <v>7</v>
      </c>
      <c r="K1989" s="1">
        <f t="shared" ref="K1989" si="2858">(IF(F1989="SELL",G1989-H1989,IF(F1989="BUY",H1989-G1989)))*E1989</f>
        <v>2000</v>
      </c>
      <c r="L1989" s="51">
        <f t="shared" ref="L1989" si="2859">(IF(F1989="SELL",IF(I1989="",0,H1989-I1989),IF(F1989="BUY",IF(I1989="",0,I1989-H1989))))*E1989</f>
        <v>2800.0000000000009</v>
      </c>
      <c r="M1989" s="52">
        <f>(IF(F1989="SELL",IF(J1989="",0,I1989-J1989),IF(F1989="BUY",IF(J1989="",0,(J1989-I1989)))))*E1989</f>
        <v>4000</v>
      </c>
      <c r="N1989" s="2">
        <f t="shared" si="2794"/>
        <v>2.2000000000000002</v>
      </c>
      <c r="O1989" s="2">
        <f t="shared" si="2811"/>
        <v>8800</v>
      </c>
      <c r="P1989" s="13"/>
      <c r="Q1989" s="13"/>
      <c r="R1989" s="13"/>
      <c r="S1989" s="13"/>
      <c r="T1989" s="13"/>
      <c r="U1989" s="13"/>
      <c r="V1989" s="13"/>
      <c r="W1989" s="13"/>
      <c r="X1989" s="13"/>
      <c r="Y1989" s="13"/>
      <c r="Z1989" s="13"/>
      <c r="AA1989" s="13"/>
      <c r="AB1989" s="13"/>
      <c r="AC1989" s="13"/>
      <c r="AD1989" s="13"/>
      <c r="AE1989" s="13"/>
      <c r="AF1989" s="13"/>
      <c r="AG1989" s="13"/>
    </row>
    <row r="1990" spans="1:33" s="14" customFormat="1">
      <c r="A1990" s="10">
        <v>43217</v>
      </c>
      <c r="B1990" s="3" t="s">
        <v>165</v>
      </c>
      <c r="C1990" s="15" t="s">
        <v>47</v>
      </c>
      <c r="D1990" s="15">
        <v>410</v>
      </c>
      <c r="E1990" s="11">
        <v>2500</v>
      </c>
      <c r="F1990" s="3" t="s">
        <v>8</v>
      </c>
      <c r="G1990" s="46">
        <v>12.5</v>
      </c>
      <c r="H1990" s="3">
        <v>13.5</v>
      </c>
      <c r="I1990" s="46">
        <v>0</v>
      </c>
      <c r="J1990" s="55">
        <v>0</v>
      </c>
      <c r="K1990" s="1">
        <f t="shared" ref="K1990" si="2860">(IF(F1990="SELL",G1990-H1990,IF(F1990="BUY",H1990-G1990)))*E1990</f>
        <v>2500</v>
      </c>
      <c r="L1990" s="51">
        <v>0</v>
      </c>
      <c r="M1990" s="52">
        <f>(IF(F1990="SELL",IF(J1990="",0,I1990-J1990),IF(F1990="BUY",IF(J1990="",0,(J1990-I1990)))))*E1990</f>
        <v>0</v>
      </c>
      <c r="N1990" s="2">
        <f t="shared" si="2794"/>
        <v>1</v>
      </c>
      <c r="O1990" s="2">
        <f t="shared" si="2811"/>
        <v>2500</v>
      </c>
      <c r="P1990" s="13"/>
      <c r="Q1990" s="13"/>
      <c r="R1990" s="13"/>
      <c r="S1990" s="13"/>
      <c r="T1990" s="13"/>
      <c r="U1990" s="13"/>
      <c r="V1990" s="13"/>
      <c r="W1990" s="13"/>
      <c r="X1990" s="13"/>
      <c r="Y1990" s="13"/>
      <c r="Z1990" s="13"/>
      <c r="AA1990" s="13"/>
      <c r="AB1990" s="13"/>
      <c r="AC1990" s="13"/>
      <c r="AD1990" s="13"/>
      <c r="AE1990" s="13"/>
      <c r="AF1990" s="13"/>
      <c r="AG1990" s="13"/>
    </row>
    <row r="1991" spans="1:33" s="14" customFormat="1">
      <c r="A1991" s="10">
        <v>43216</v>
      </c>
      <c r="B1991" s="3" t="s">
        <v>139</v>
      </c>
      <c r="C1991" s="15" t="s">
        <v>47</v>
      </c>
      <c r="D1991" s="15">
        <v>2500</v>
      </c>
      <c r="E1991" s="11">
        <v>500</v>
      </c>
      <c r="F1991" s="3" t="s">
        <v>8</v>
      </c>
      <c r="G1991" s="46">
        <v>23.15</v>
      </c>
      <c r="H1991" s="3">
        <v>27</v>
      </c>
      <c r="I1991" s="46">
        <v>0</v>
      </c>
      <c r="J1991" s="55">
        <v>0</v>
      </c>
      <c r="K1991" s="1">
        <f t="shared" ref="K1991" si="2861">(IF(F1991="SELL",G1991-H1991,IF(F1991="BUY",H1991-G1991)))*E1991</f>
        <v>1925.0000000000007</v>
      </c>
      <c r="L1991" s="51">
        <v>0</v>
      </c>
      <c r="M1991" s="52">
        <f>(IF(F1991="SELL",IF(J1991="",0,I1991-J1991),IF(F1991="BUY",IF(J1991="",0,(J1991-I1991)))))*E1991</f>
        <v>0</v>
      </c>
      <c r="N1991" s="2">
        <f t="shared" si="2794"/>
        <v>3.8500000000000014</v>
      </c>
      <c r="O1991" s="2">
        <f t="shared" si="2811"/>
        <v>1925.0000000000007</v>
      </c>
      <c r="P1991" s="13"/>
      <c r="Q1991" s="13"/>
      <c r="R1991" s="13"/>
      <c r="S1991" s="13"/>
      <c r="T1991" s="13"/>
      <c r="U1991" s="13"/>
      <c r="V1991" s="13"/>
      <c r="W1991" s="13"/>
      <c r="X1991" s="13"/>
      <c r="Y1991" s="13"/>
      <c r="Z1991" s="13"/>
      <c r="AA1991" s="13"/>
      <c r="AB1991" s="13"/>
      <c r="AC1991" s="13"/>
      <c r="AD1991" s="13"/>
      <c r="AE1991" s="13"/>
      <c r="AF1991" s="13"/>
      <c r="AG1991" s="13"/>
    </row>
    <row r="1992" spans="1:33" s="14" customFormat="1">
      <c r="A1992" s="10">
        <v>43216</v>
      </c>
      <c r="B1992" s="3" t="s">
        <v>141</v>
      </c>
      <c r="C1992" s="15" t="s">
        <v>47</v>
      </c>
      <c r="D1992" s="15">
        <v>325</v>
      </c>
      <c r="E1992" s="11">
        <v>3000</v>
      </c>
      <c r="F1992" s="3" t="s">
        <v>8</v>
      </c>
      <c r="G1992" s="46">
        <v>2.6</v>
      </c>
      <c r="H1992" s="3">
        <v>3.4</v>
      </c>
      <c r="I1992" s="46">
        <v>4.5</v>
      </c>
      <c r="J1992" s="55">
        <v>0</v>
      </c>
      <c r="K1992" s="1">
        <f t="shared" ref="K1992" si="2862">(IF(F1992="SELL",G1992-H1992,IF(F1992="BUY",H1992-G1992)))*E1992</f>
        <v>2399.9999999999995</v>
      </c>
      <c r="L1992" s="51">
        <f t="shared" ref="L1992" si="2863">(IF(F1992="SELL",IF(I1992="",0,H1992-I1992),IF(F1992="BUY",IF(I1992="",0,I1992-H1992))))*E1992</f>
        <v>3300.0000000000005</v>
      </c>
      <c r="M1992" s="52">
        <v>0</v>
      </c>
      <c r="N1992" s="2">
        <f t="shared" si="2794"/>
        <v>1.9</v>
      </c>
      <c r="O1992" s="2">
        <f t="shared" si="2811"/>
        <v>5700</v>
      </c>
      <c r="P1992" s="13"/>
      <c r="Q1992" s="13"/>
      <c r="R1992" s="13"/>
      <c r="S1992" s="13"/>
      <c r="T1992" s="13"/>
      <c r="U1992" s="13"/>
      <c r="V1992" s="13"/>
      <c r="W1992" s="13"/>
      <c r="X1992" s="13"/>
      <c r="Y1992" s="13"/>
      <c r="Z1992" s="13"/>
      <c r="AA1992" s="13"/>
      <c r="AB1992" s="13"/>
      <c r="AC1992" s="13"/>
      <c r="AD1992" s="13"/>
      <c r="AE1992" s="13"/>
      <c r="AF1992" s="13"/>
      <c r="AG1992" s="13"/>
    </row>
    <row r="1993" spans="1:33" s="14" customFormat="1">
      <c r="A1993" s="10">
        <v>43216</v>
      </c>
      <c r="B1993" s="3" t="s">
        <v>139</v>
      </c>
      <c r="C1993" s="15" t="s">
        <v>47</v>
      </c>
      <c r="D1993" s="15">
        <v>2500</v>
      </c>
      <c r="E1993" s="11">
        <v>500</v>
      </c>
      <c r="F1993" s="3" t="s">
        <v>8</v>
      </c>
      <c r="G1993" s="46">
        <v>21</v>
      </c>
      <c r="H1993" s="3">
        <v>25</v>
      </c>
      <c r="I1993" s="46">
        <v>33</v>
      </c>
      <c r="J1993" s="55">
        <v>0</v>
      </c>
      <c r="K1993" s="1">
        <f t="shared" ref="K1993" si="2864">(IF(F1993="SELL",G1993-H1993,IF(F1993="BUY",H1993-G1993)))*E1993</f>
        <v>2000</v>
      </c>
      <c r="L1993" s="51">
        <f t="shared" ref="L1993" si="2865">(IF(F1993="SELL",IF(I1993="",0,H1993-I1993),IF(F1993="BUY",IF(I1993="",0,I1993-H1993))))*E1993</f>
        <v>4000</v>
      </c>
      <c r="M1993" s="52">
        <v>0</v>
      </c>
      <c r="N1993" s="2">
        <f t="shared" si="2794"/>
        <v>12</v>
      </c>
      <c r="O1993" s="2">
        <f t="shared" si="2811"/>
        <v>6000</v>
      </c>
      <c r="P1993" s="13"/>
      <c r="Q1993" s="13"/>
      <c r="R1993" s="13"/>
      <c r="S1993" s="13"/>
      <c r="T1993" s="13"/>
      <c r="U1993" s="13"/>
      <c r="V1993" s="13"/>
      <c r="W1993" s="13"/>
      <c r="X1993" s="13"/>
      <c r="Y1993" s="13"/>
      <c r="Z1993" s="13"/>
      <c r="AA1993" s="13"/>
      <c r="AB1993" s="13"/>
      <c r="AC1993" s="13"/>
      <c r="AD1993" s="13"/>
      <c r="AE1993" s="13"/>
      <c r="AF1993" s="13"/>
      <c r="AG1993" s="13"/>
    </row>
    <row r="1994" spans="1:33" s="14" customFormat="1">
      <c r="A1994" s="10">
        <v>43215</v>
      </c>
      <c r="B1994" s="3" t="s">
        <v>239</v>
      </c>
      <c r="C1994" s="15" t="s">
        <v>47</v>
      </c>
      <c r="D1994" s="15">
        <v>220</v>
      </c>
      <c r="E1994" s="11">
        <v>5000</v>
      </c>
      <c r="F1994" s="3" t="s">
        <v>8</v>
      </c>
      <c r="G1994" s="46">
        <v>2.5</v>
      </c>
      <c r="H1994" s="3">
        <v>3</v>
      </c>
      <c r="I1994" s="46">
        <v>4</v>
      </c>
      <c r="J1994" s="55">
        <v>5</v>
      </c>
      <c r="K1994" s="1">
        <f t="shared" ref="K1994" si="2866">(IF(F1994="SELL",G1994-H1994,IF(F1994="BUY",H1994-G1994)))*E1994</f>
        <v>2500</v>
      </c>
      <c r="L1994" s="51">
        <f t="shared" ref="L1994" si="2867">(IF(F1994="SELL",IF(I1994="",0,H1994-I1994),IF(F1994="BUY",IF(I1994="",0,I1994-H1994))))*E1994</f>
        <v>5000</v>
      </c>
      <c r="M1994" s="52">
        <f>(IF(F1994="SELL",IF(J1994="",0,I1994-J1994),IF(F1994="BUY",IF(J1994="",0,(J1994-I1994)))))*E1994</f>
        <v>5000</v>
      </c>
      <c r="N1994" s="2">
        <f t="shared" si="2794"/>
        <v>2.5</v>
      </c>
      <c r="O1994" s="2">
        <f t="shared" si="2811"/>
        <v>12500</v>
      </c>
      <c r="P1994" s="13"/>
      <c r="Q1994" s="13"/>
      <c r="R1994" s="13"/>
      <c r="S1994" s="13"/>
      <c r="T1994" s="13"/>
      <c r="U1994" s="13"/>
      <c r="V1994" s="13"/>
      <c r="W1994" s="13"/>
      <c r="X1994" s="13"/>
      <c r="Y1994" s="13"/>
      <c r="Z1994" s="13"/>
      <c r="AA1994" s="13"/>
      <c r="AB1994" s="13"/>
      <c r="AC1994" s="13"/>
      <c r="AD1994" s="13"/>
      <c r="AE1994" s="13"/>
      <c r="AF1994" s="13"/>
      <c r="AG1994" s="13"/>
    </row>
    <row r="1995" spans="1:33" s="14" customFormat="1">
      <c r="A1995" s="10">
        <v>43215</v>
      </c>
      <c r="B1995" s="3" t="s">
        <v>291</v>
      </c>
      <c r="C1995" s="15" t="s">
        <v>47</v>
      </c>
      <c r="D1995" s="15">
        <v>3400</v>
      </c>
      <c r="E1995" s="11">
        <v>250</v>
      </c>
      <c r="F1995" s="3" t="s">
        <v>8</v>
      </c>
      <c r="G1995" s="46">
        <v>55</v>
      </c>
      <c r="H1995" s="3">
        <v>60</v>
      </c>
      <c r="I1995" s="46">
        <v>70</v>
      </c>
      <c r="J1995" s="55">
        <v>80</v>
      </c>
      <c r="K1995" s="1">
        <f t="shared" ref="K1995" si="2868">(IF(F1995="SELL",G1995-H1995,IF(F1995="BUY",H1995-G1995)))*E1995</f>
        <v>1250</v>
      </c>
      <c r="L1995" s="51">
        <f t="shared" ref="L1995" si="2869">(IF(F1995="SELL",IF(I1995="",0,H1995-I1995),IF(F1995="BUY",IF(I1995="",0,I1995-H1995))))*E1995</f>
        <v>2500</v>
      </c>
      <c r="M1995" s="52">
        <f>(IF(F1995="SELL",IF(J1995="",0,I1995-J1995),IF(F1995="BUY",IF(J1995="",0,(J1995-I1995)))))*E1995</f>
        <v>2500</v>
      </c>
      <c r="N1995" s="2">
        <f t="shared" si="2794"/>
        <v>25</v>
      </c>
      <c r="O1995" s="2">
        <f t="shared" si="2811"/>
        <v>6250</v>
      </c>
      <c r="P1995" s="13"/>
      <c r="Q1995" s="13"/>
      <c r="R1995" s="13"/>
      <c r="S1995" s="13"/>
      <c r="T1995" s="13"/>
      <c r="U1995" s="13"/>
      <c r="V1995" s="13"/>
      <c r="W1995" s="13"/>
      <c r="X1995" s="13"/>
      <c r="Y1995" s="13"/>
      <c r="Z1995" s="13"/>
      <c r="AA1995" s="13"/>
      <c r="AB1995" s="13"/>
      <c r="AC1995" s="13"/>
      <c r="AD1995" s="13"/>
      <c r="AE1995" s="13"/>
      <c r="AF1995" s="13"/>
      <c r="AG1995" s="13"/>
    </row>
    <row r="1996" spans="1:33" s="14" customFormat="1">
      <c r="A1996" s="10">
        <v>43215</v>
      </c>
      <c r="B1996" s="3" t="s">
        <v>13</v>
      </c>
      <c r="C1996" s="15" t="s">
        <v>47</v>
      </c>
      <c r="D1996" s="15">
        <v>1060</v>
      </c>
      <c r="E1996" s="11">
        <v>700</v>
      </c>
      <c r="F1996" s="3" t="s">
        <v>8</v>
      </c>
      <c r="G1996" s="46">
        <v>17.5</v>
      </c>
      <c r="H1996" s="3">
        <v>19.5</v>
      </c>
      <c r="I1996" s="46">
        <v>23</v>
      </c>
      <c r="J1996" s="55">
        <v>0</v>
      </c>
      <c r="K1996" s="1">
        <f t="shared" ref="K1996" si="2870">(IF(F1996="SELL",G1996-H1996,IF(F1996="BUY",H1996-G1996)))*E1996</f>
        <v>1400</v>
      </c>
      <c r="L1996" s="51">
        <f t="shared" ref="L1996" si="2871">(IF(F1996="SELL",IF(I1996="",0,H1996-I1996),IF(F1996="BUY",IF(I1996="",0,I1996-H1996))))*E1996</f>
        <v>2450</v>
      </c>
      <c r="M1996" s="52">
        <v>0</v>
      </c>
      <c r="N1996" s="2">
        <f t="shared" si="2794"/>
        <v>5.5</v>
      </c>
      <c r="O1996" s="2">
        <f t="shared" si="2811"/>
        <v>3850</v>
      </c>
      <c r="P1996" s="13"/>
      <c r="Q1996" s="13"/>
      <c r="R1996" s="13"/>
      <c r="S1996" s="13"/>
      <c r="T1996" s="13"/>
      <c r="U1996" s="13"/>
      <c r="V1996" s="13"/>
      <c r="W1996" s="13"/>
      <c r="X1996" s="13"/>
      <c r="Y1996" s="13"/>
      <c r="Z1996" s="13"/>
      <c r="AA1996" s="13"/>
      <c r="AB1996" s="13"/>
      <c r="AC1996" s="13"/>
      <c r="AD1996" s="13"/>
      <c r="AE1996" s="13"/>
      <c r="AF1996" s="13"/>
      <c r="AG1996" s="13"/>
    </row>
    <row r="1997" spans="1:33" s="14" customFormat="1">
      <c r="A1997" s="10">
        <v>43215</v>
      </c>
      <c r="B1997" s="3" t="s">
        <v>196</v>
      </c>
      <c r="C1997" s="15" t="s">
        <v>47</v>
      </c>
      <c r="D1997" s="15">
        <v>690</v>
      </c>
      <c r="E1997" s="11">
        <v>1200</v>
      </c>
      <c r="F1997" s="3" t="s">
        <v>8</v>
      </c>
      <c r="G1997" s="46">
        <v>12.5</v>
      </c>
      <c r="H1997" s="3">
        <v>13.5</v>
      </c>
      <c r="I1997" s="46">
        <v>15</v>
      </c>
      <c r="J1997" s="55">
        <v>0</v>
      </c>
      <c r="K1997" s="1">
        <f t="shared" ref="K1997" si="2872">(IF(F1997="SELL",G1997-H1997,IF(F1997="BUY",H1997-G1997)))*E1997</f>
        <v>1200</v>
      </c>
      <c r="L1997" s="51">
        <f t="shared" ref="L1997" si="2873">(IF(F1997="SELL",IF(I1997="",0,H1997-I1997),IF(F1997="BUY",IF(I1997="",0,I1997-H1997))))*E1997</f>
        <v>1800</v>
      </c>
      <c r="M1997" s="52">
        <v>0</v>
      </c>
      <c r="N1997" s="2">
        <f t="shared" si="2794"/>
        <v>2.5</v>
      </c>
      <c r="O1997" s="2">
        <f t="shared" si="2811"/>
        <v>3000</v>
      </c>
      <c r="P1997" s="13"/>
      <c r="Q1997" s="13"/>
      <c r="R1997" s="13"/>
      <c r="S1997" s="13"/>
      <c r="T1997" s="13"/>
      <c r="U1997" s="13"/>
      <c r="V1997" s="13"/>
      <c r="W1997" s="13"/>
      <c r="X1997" s="13"/>
      <c r="Y1997" s="13"/>
      <c r="Z1997" s="13"/>
      <c r="AA1997" s="13"/>
      <c r="AB1997" s="13"/>
      <c r="AC1997" s="13"/>
      <c r="AD1997" s="13"/>
      <c r="AE1997" s="13"/>
      <c r="AF1997" s="13"/>
      <c r="AG1997" s="13"/>
    </row>
    <row r="1998" spans="1:33" s="14" customFormat="1">
      <c r="A1998" s="10">
        <v>43214</v>
      </c>
      <c r="B1998" s="3" t="s">
        <v>73</v>
      </c>
      <c r="C1998" s="15" t="s">
        <v>47</v>
      </c>
      <c r="D1998" s="15">
        <v>1360</v>
      </c>
      <c r="E1998" s="11">
        <v>750</v>
      </c>
      <c r="F1998" s="3" t="s">
        <v>8</v>
      </c>
      <c r="G1998" s="46">
        <v>11</v>
      </c>
      <c r="H1998" s="3">
        <v>13.5</v>
      </c>
      <c r="I1998" s="46">
        <v>17</v>
      </c>
      <c r="J1998" s="55">
        <v>21.35</v>
      </c>
      <c r="K1998" s="1">
        <f t="shared" ref="K1998" si="2874">(IF(F1998="SELL",G1998-H1998,IF(F1998="BUY",H1998-G1998)))*E1998</f>
        <v>1875</v>
      </c>
      <c r="L1998" s="51">
        <f t="shared" ref="L1998" si="2875">(IF(F1998="SELL",IF(I1998="",0,H1998-I1998),IF(F1998="BUY",IF(I1998="",0,I1998-H1998))))*E1998</f>
        <v>2625</v>
      </c>
      <c r="M1998" s="52">
        <f>(IF(F1998="SELL",IF(J1998="",0,I1998-J1998),IF(F1998="BUY",IF(J1998="",0,(J1998-I1998)))))*E1998</f>
        <v>3262.5000000000009</v>
      </c>
      <c r="N1998" s="2">
        <f t="shared" si="2794"/>
        <v>10.350000000000001</v>
      </c>
      <c r="O1998" s="2">
        <f t="shared" si="2811"/>
        <v>7762.5000000000009</v>
      </c>
      <c r="P1998" s="13"/>
      <c r="Q1998" s="13"/>
      <c r="R1998" s="13"/>
      <c r="S1998" s="13"/>
      <c r="T1998" s="13"/>
      <c r="U1998" s="13"/>
      <c r="V1998" s="13"/>
      <c r="W1998" s="13"/>
      <c r="X1998" s="13"/>
      <c r="Y1998" s="13"/>
      <c r="Z1998" s="13"/>
      <c r="AA1998" s="13"/>
      <c r="AB1998" s="13"/>
      <c r="AC1998" s="13"/>
      <c r="AD1998" s="13"/>
      <c r="AE1998" s="13"/>
      <c r="AF1998" s="13"/>
      <c r="AG1998" s="13"/>
    </row>
    <row r="1999" spans="1:33" s="14" customFormat="1">
      <c r="A1999" s="10">
        <v>43214</v>
      </c>
      <c r="B1999" s="3" t="s">
        <v>290</v>
      </c>
      <c r="C1999" s="15" t="s">
        <v>47</v>
      </c>
      <c r="D1999" s="15">
        <v>960</v>
      </c>
      <c r="E1999" s="11">
        <v>500</v>
      </c>
      <c r="F1999" s="3" t="s">
        <v>8</v>
      </c>
      <c r="G1999" s="46">
        <v>25.7</v>
      </c>
      <c r="H1999" s="3">
        <v>29</v>
      </c>
      <c r="I1999" s="46">
        <v>35</v>
      </c>
      <c r="J1999" s="55">
        <v>39</v>
      </c>
      <c r="K1999" s="1">
        <f t="shared" ref="K1999" si="2876">(IF(F1999="SELL",G1999-H1999,IF(F1999="BUY",H1999-G1999)))*E1999</f>
        <v>1650.0000000000005</v>
      </c>
      <c r="L1999" s="51">
        <f t="shared" ref="L1999" si="2877">(IF(F1999="SELL",IF(I1999="",0,H1999-I1999),IF(F1999="BUY",IF(I1999="",0,I1999-H1999))))*E1999</f>
        <v>3000</v>
      </c>
      <c r="M1999" s="52">
        <f>(IF(F1999="SELL",IF(J1999="",0,I1999-J1999),IF(F1999="BUY",IF(J1999="",0,(J1999-I1999)))))*E1999</f>
        <v>2000</v>
      </c>
      <c r="N1999" s="2">
        <f t="shared" si="2794"/>
        <v>13.3</v>
      </c>
      <c r="O1999" s="2">
        <f t="shared" si="2811"/>
        <v>6650</v>
      </c>
      <c r="P1999" s="13"/>
      <c r="Q1999" s="13"/>
      <c r="R1999" s="13"/>
      <c r="S1999" s="13"/>
      <c r="T1999" s="13"/>
      <c r="U1999" s="13"/>
      <c r="V1999" s="13"/>
      <c r="W1999" s="13"/>
      <c r="X1999" s="13"/>
      <c r="Y1999" s="13"/>
      <c r="Z1999" s="13"/>
      <c r="AA1999" s="13"/>
      <c r="AB1999" s="13"/>
      <c r="AC1999" s="13"/>
      <c r="AD1999" s="13"/>
      <c r="AE1999" s="13"/>
      <c r="AF1999" s="13"/>
      <c r="AG1999" s="13"/>
    </row>
    <row r="2000" spans="1:33" s="14" customFormat="1">
      <c r="A2000" s="10">
        <v>43213</v>
      </c>
      <c r="B2000" s="3" t="s">
        <v>31</v>
      </c>
      <c r="C2000" s="15" t="s">
        <v>47</v>
      </c>
      <c r="D2000" s="15">
        <v>270</v>
      </c>
      <c r="E2000" s="11">
        <v>2500</v>
      </c>
      <c r="F2000" s="3" t="s">
        <v>8</v>
      </c>
      <c r="G2000" s="46">
        <v>5.5</v>
      </c>
      <c r="H2000" s="3">
        <v>6.2</v>
      </c>
      <c r="I2000" s="46">
        <v>0</v>
      </c>
      <c r="J2000" s="55">
        <v>0</v>
      </c>
      <c r="K2000" s="1">
        <f t="shared" ref="K2000" si="2878">(IF(F2000="SELL",G2000-H2000,IF(F2000="BUY",H2000-G2000)))*E2000</f>
        <v>1750.0000000000005</v>
      </c>
      <c r="L2000" s="51">
        <v>0</v>
      </c>
      <c r="M2000" s="52">
        <f>(IF(F2000="SELL",IF(J2000="",0,I2000-J2000),IF(F2000="BUY",IF(J2000="",0,(J2000-I2000)))))*E2000</f>
        <v>0</v>
      </c>
      <c r="N2000" s="2">
        <f t="shared" si="2794"/>
        <v>0.70000000000000018</v>
      </c>
      <c r="O2000" s="2">
        <f t="shared" si="2811"/>
        <v>1750.0000000000005</v>
      </c>
      <c r="P2000" s="13"/>
      <c r="Q2000" s="13"/>
      <c r="R2000" s="13"/>
      <c r="S2000" s="13"/>
      <c r="T2000" s="13"/>
      <c r="U2000" s="13"/>
      <c r="V2000" s="13"/>
      <c r="W2000" s="13"/>
      <c r="X2000" s="13"/>
      <c r="Y2000" s="13"/>
      <c r="Z2000" s="13"/>
      <c r="AA2000" s="13"/>
      <c r="AB2000" s="13"/>
      <c r="AC2000" s="13"/>
      <c r="AD2000" s="13"/>
      <c r="AE2000" s="13"/>
      <c r="AF2000" s="13"/>
      <c r="AG2000" s="13"/>
    </row>
    <row r="2001" spans="1:33" s="14" customFormat="1">
      <c r="A2001" s="10">
        <v>43213</v>
      </c>
      <c r="B2001" s="3" t="s">
        <v>31</v>
      </c>
      <c r="C2001" s="15" t="s">
        <v>47</v>
      </c>
      <c r="D2001" s="15">
        <v>270</v>
      </c>
      <c r="E2001" s="11">
        <v>2500</v>
      </c>
      <c r="F2001" s="3" t="s">
        <v>8</v>
      </c>
      <c r="G2001" s="46">
        <v>4</v>
      </c>
      <c r="H2001" s="3">
        <v>5.5</v>
      </c>
      <c r="I2001" s="46">
        <v>0</v>
      </c>
      <c r="J2001" s="55">
        <v>0</v>
      </c>
      <c r="K2001" s="1">
        <f t="shared" ref="K2001" si="2879">(IF(F2001="SELL",G2001-H2001,IF(F2001="BUY",H2001-G2001)))*E2001</f>
        <v>3750</v>
      </c>
      <c r="L2001" s="51">
        <v>0</v>
      </c>
      <c r="M2001" s="52">
        <f>(IF(F2001="SELL",IF(J2001="",0,I2001-J2001),IF(F2001="BUY",IF(J2001="",0,(J2001-I2001)))))*E2001</f>
        <v>0</v>
      </c>
      <c r="N2001" s="2">
        <f t="shared" si="2794"/>
        <v>1.5</v>
      </c>
      <c r="O2001" s="2">
        <f t="shared" si="2811"/>
        <v>3750</v>
      </c>
      <c r="P2001" s="13"/>
      <c r="Q2001" s="13"/>
      <c r="R2001" s="13"/>
      <c r="S2001" s="13"/>
      <c r="T2001" s="13"/>
      <c r="U2001" s="13"/>
      <c r="V2001" s="13"/>
      <c r="W2001" s="13"/>
      <c r="X2001" s="13"/>
      <c r="Y2001" s="13"/>
      <c r="Z2001" s="13"/>
      <c r="AA2001" s="13"/>
      <c r="AB2001" s="13"/>
      <c r="AC2001" s="13"/>
      <c r="AD2001" s="13"/>
      <c r="AE2001" s="13"/>
      <c r="AF2001" s="13"/>
      <c r="AG2001" s="13"/>
    </row>
    <row r="2002" spans="1:33" s="14" customFormat="1">
      <c r="A2002" s="10">
        <v>43210</v>
      </c>
      <c r="B2002" s="3" t="s">
        <v>211</v>
      </c>
      <c r="C2002" s="15" t="s">
        <v>47</v>
      </c>
      <c r="D2002" s="15">
        <v>960</v>
      </c>
      <c r="E2002" s="11">
        <v>1500</v>
      </c>
      <c r="F2002" s="3" t="s">
        <v>8</v>
      </c>
      <c r="G2002" s="46">
        <v>18</v>
      </c>
      <c r="H2002" s="3">
        <v>19.5</v>
      </c>
      <c r="I2002" s="46">
        <v>21</v>
      </c>
      <c r="J2002" s="55">
        <v>23</v>
      </c>
      <c r="K2002" s="1">
        <f t="shared" ref="K2002" si="2880">(IF(F2002="SELL",G2002-H2002,IF(F2002="BUY",H2002-G2002)))*E2002</f>
        <v>2250</v>
      </c>
      <c r="L2002" s="51">
        <f t="shared" ref="L2002" si="2881">(IF(F2002="SELL",IF(I2002="",0,H2002-I2002),IF(F2002="BUY",IF(I2002="",0,I2002-H2002))))*E2002</f>
        <v>2250</v>
      </c>
      <c r="M2002" s="52">
        <f>(IF(F2002="SELL",IF(J2002="",0,I2002-J2002),IF(F2002="BUY",IF(J2002="",0,(J2002-I2002)))))*E2002</f>
        <v>3000</v>
      </c>
      <c r="N2002" s="2">
        <f t="shared" si="2794"/>
        <v>5</v>
      </c>
      <c r="O2002" s="2">
        <f t="shared" si="2811"/>
        <v>7500</v>
      </c>
      <c r="P2002" s="13"/>
      <c r="Q2002" s="13"/>
      <c r="R2002" s="13"/>
      <c r="S2002" s="13"/>
      <c r="T2002" s="13"/>
      <c r="U2002" s="13"/>
      <c r="V2002" s="13"/>
      <c r="W2002" s="13"/>
      <c r="X2002" s="13"/>
      <c r="Y2002" s="13"/>
      <c r="Z2002" s="13"/>
      <c r="AA2002" s="13"/>
      <c r="AB2002" s="13"/>
      <c r="AC2002" s="13"/>
      <c r="AD2002" s="13"/>
      <c r="AE2002" s="13"/>
      <c r="AF2002" s="13"/>
      <c r="AG2002" s="13"/>
    </row>
    <row r="2003" spans="1:33" s="14" customFormat="1">
      <c r="A2003" s="10">
        <v>43210</v>
      </c>
      <c r="B2003" s="3" t="s">
        <v>213</v>
      </c>
      <c r="C2003" s="15" t="s">
        <v>47</v>
      </c>
      <c r="D2003" s="15">
        <v>420</v>
      </c>
      <c r="E2003" s="11">
        <v>2000</v>
      </c>
      <c r="F2003" s="3" t="s">
        <v>8</v>
      </c>
      <c r="G2003" s="46">
        <v>8.5</v>
      </c>
      <c r="H2003" s="3">
        <v>9.15</v>
      </c>
      <c r="I2003" s="46">
        <v>0</v>
      </c>
      <c r="J2003" s="55">
        <v>0</v>
      </c>
      <c r="K2003" s="1">
        <f t="shared" ref="K2003" si="2882">(IF(F2003="SELL",G2003-H2003,IF(F2003="BUY",H2003-G2003)))*E2003</f>
        <v>1300.0000000000007</v>
      </c>
      <c r="L2003" s="51">
        <v>0</v>
      </c>
      <c r="M2003" s="52">
        <v>0</v>
      </c>
      <c r="N2003" s="2">
        <f t="shared" si="2794"/>
        <v>0.65000000000000036</v>
      </c>
      <c r="O2003" s="2">
        <f t="shared" si="2811"/>
        <v>1300.0000000000007</v>
      </c>
      <c r="P2003" s="13"/>
      <c r="Q2003" s="13"/>
      <c r="R2003" s="13"/>
      <c r="S2003" s="13"/>
      <c r="T2003" s="13"/>
      <c r="U2003" s="13"/>
      <c r="V2003" s="13"/>
      <c r="W2003" s="13"/>
      <c r="X2003" s="13"/>
      <c r="Y2003" s="13"/>
      <c r="Z2003" s="13"/>
      <c r="AA2003" s="13"/>
      <c r="AB2003" s="13"/>
      <c r="AC2003" s="13"/>
      <c r="AD2003" s="13"/>
      <c r="AE2003" s="13"/>
      <c r="AF2003" s="13"/>
      <c r="AG2003" s="13"/>
    </row>
    <row r="2004" spans="1:33" s="14" customFormat="1">
      <c r="A2004" s="10">
        <v>43209</v>
      </c>
      <c r="B2004" s="3" t="s">
        <v>269</v>
      </c>
      <c r="C2004" s="15" t="s">
        <v>47</v>
      </c>
      <c r="D2004" s="15">
        <v>80</v>
      </c>
      <c r="E2004" s="11">
        <v>12000</v>
      </c>
      <c r="F2004" s="3" t="s">
        <v>8</v>
      </c>
      <c r="G2004" s="46">
        <v>1.6</v>
      </c>
      <c r="H2004" s="3">
        <v>1.8</v>
      </c>
      <c r="I2004" s="46">
        <v>2.1</v>
      </c>
      <c r="J2004" s="55">
        <v>2.5</v>
      </c>
      <c r="K2004" s="1">
        <f t="shared" ref="K2004" si="2883">(IF(F2004="SELL",G2004-H2004,IF(F2004="BUY",H2004-G2004)))*E2004</f>
        <v>2399.9999999999995</v>
      </c>
      <c r="L2004" s="51">
        <f t="shared" ref="L2004" si="2884">(IF(F2004="SELL",IF(I2004="",0,H2004-I2004),IF(F2004="BUY",IF(I2004="",0,I2004-H2004))))*E2004</f>
        <v>3600.0000000000005</v>
      </c>
      <c r="M2004" s="52">
        <f>(IF(F2004="SELL",IF(J2004="",0,I2004-J2004),IF(F2004="BUY",IF(J2004="",0,(J2004-I2004)))))*E2004</f>
        <v>4799.9999999999991</v>
      </c>
      <c r="N2004" s="2">
        <f t="shared" si="2794"/>
        <v>0.9</v>
      </c>
      <c r="O2004" s="2">
        <f t="shared" si="2811"/>
        <v>10800</v>
      </c>
      <c r="P2004" s="13"/>
      <c r="Q2004" s="13"/>
      <c r="R2004" s="13"/>
      <c r="S2004" s="13"/>
      <c r="T2004" s="13"/>
      <c r="U2004" s="13"/>
      <c r="V2004" s="13"/>
      <c r="W2004" s="13"/>
      <c r="X2004" s="13"/>
      <c r="Y2004" s="13"/>
      <c r="Z2004" s="13"/>
      <c r="AA2004" s="13"/>
      <c r="AB2004" s="13"/>
      <c r="AC2004" s="13"/>
      <c r="AD2004" s="13"/>
      <c r="AE2004" s="13"/>
      <c r="AF2004" s="13"/>
      <c r="AG2004" s="13"/>
    </row>
    <row r="2005" spans="1:33" s="14" customFormat="1">
      <c r="A2005" s="10">
        <v>43209</v>
      </c>
      <c r="B2005" s="3" t="s">
        <v>289</v>
      </c>
      <c r="C2005" s="15" t="s">
        <v>47</v>
      </c>
      <c r="D2005" s="15">
        <v>760</v>
      </c>
      <c r="E2005" s="11">
        <v>1200</v>
      </c>
      <c r="F2005" s="3" t="s">
        <v>8</v>
      </c>
      <c r="G2005" s="46">
        <v>6.7</v>
      </c>
      <c r="H2005" s="3">
        <v>8.1999999999999993</v>
      </c>
      <c r="I2005" s="46">
        <v>0</v>
      </c>
      <c r="J2005" s="55">
        <v>0</v>
      </c>
      <c r="K2005" s="1">
        <f t="shared" ref="K2005" si="2885">(IF(F2005="SELL",G2005-H2005,IF(F2005="BUY",H2005-G2005)))*E2005</f>
        <v>1799.9999999999989</v>
      </c>
      <c r="L2005" s="51">
        <v>0</v>
      </c>
      <c r="M2005" s="52">
        <v>0</v>
      </c>
      <c r="N2005" s="2">
        <f t="shared" ref="N2005:N2068" si="2886">(L2005+K2005+M2005)/E2005</f>
        <v>1.4999999999999991</v>
      </c>
      <c r="O2005" s="2">
        <f t="shared" si="2811"/>
        <v>1799.9999999999989</v>
      </c>
      <c r="P2005" s="13"/>
      <c r="Q2005" s="13"/>
      <c r="R2005" s="13"/>
      <c r="S2005" s="13"/>
      <c r="T2005" s="13"/>
      <c r="U2005" s="13"/>
      <c r="V2005" s="13"/>
      <c r="W2005" s="13"/>
      <c r="X2005" s="13"/>
      <c r="Y2005" s="13"/>
      <c r="Z2005" s="13"/>
      <c r="AA2005" s="13"/>
      <c r="AB2005" s="13"/>
      <c r="AC2005" s="13"/>
      <c r="AD2005" s="13"/>
      <c r="AE2005" s="13"/>
      <c r="AF2005" s="13"/>
      <c r="AG2005" s="13"/>
    </row>
    <row r="2006" spans="1:33" s="14" customFormat="1">
      <c r="A2006" s="10">
        <v>43208</v>
      </c>
      <c r="B2006" s="3" t="s">
        <v>288</v>
      </c>
      <c r="C2006" s="15" t="s">
        <v>47</v>
      </c>
      <c r="D2006" s="15">
        <v>150</v>
      </c>
      <c r="E2006" s="11">
        <v>3500</v>
      </c>
      <c r="F2006" s="3" t="s">
        <v>8</v>
      </c>
      <c r="G2006" s="46">
        <v>4</v>
      </c>
      <c r="H2006" s="3">
        <v>4</v>
      </c>
      <c r="I2006" s="46">
        <v>0</v>
      </c>
      <c r="J2006" s="55">
        <v>0</v>
      </c>
      <c r="K2006" s="1">
        <v>0</v>
      </c>
      <c r="L2006" s="51">
        <v>0</v>
      </c>
      <c r="M2006" s="52">
        <v>0</v>
      </c>
      <c r="N2006" s="2">
        <f t="shared" si="2886"/>
        <v>0</v>
      </c>
      <c r="O2006" s="2">
        <f t="shared" si="2811"/>
        <v>0</v>
      </c>
      <c r="P2006" s="13"/>
      <c r="Q2006" s="13"/>
      <c r="R2006" s="13"/>
      <c r="S2006" s="13"/>
      <c r="T2006" s="13"/>
      <c r="U2006" s="13"/>
      <c r="V2006" s="13"/>
      <c r="W2006" s="13"/>
      <c r="X2006" s="13"/>
      <c r="Y2006" s="13"/>
      <c r="Z2006" s="13"/>
      <c r="AA2006" s="13"/>
      <c r="AB2006" s="13"/>
      <c r="AC2006" s="13"/>
      <c r="AD2006" s="13"/>
      <c r="AE2006" s="13"/>
      <c r="AF2006" s="13"/>
      <c r="AG2006" s="13"/>
    </row>
    <row r="2007" spans="1:33" s="14" customFormat="1">
      <c r="A2007" s="10">
        <v>43207</v>
      </c>
      <c r="B2007" s="3" t="s">
        <v>211</v>
      </c>
      <c r="C2007" s="15" t="s">
        <v>47</v>
      </c>
      <c r="D2007" s="15">
        <v>940</v>
      </c>
      <c r="E2007" s="11">
        <v>1500</v>
      </c>
      <c r="F2007" s="3" t="s">
        <v>8</v>
      </c>
      <c r="G2007" s="46">
        <v>21</v>
      </c>
      <c r="H2007" s="3">
        <v>22.5</v>
      </c>
      <c r="I2007" s="46">
        <v>25</v>
      </c>
      <c r="J2007" s="55">
        <v>0</v>
      </c>
      <c r="K2007" s="1">
        <f t="shared" ref="K2007" si="2887">(IF(F2007="SELL",G2007-H2007,IF(F2007="BUY",H2007-G2007)))*E2007</f>
        <v>2250</v>
      </c>
      <c r="L2007" s="51">
        <f t="shared" ref="L2007" si="2888">(IF(F2007="SELL",IF(I2007="",0,H2007-I2007),IF(F2007="BUY",IF(I2007="",0,I2007-H2007))))*E2007</f>
        <v>3750</v>
      </c>
      <c r="M2007" s="52">
        <v>0</v>
      </c>
      <c r="N2007" s="2">
        <f t="shared" si="2886"/>
        <v>4</v>
      </c>
      <c r="O2007" s="2">
        <f t="shared" si="2811"/>
        <v>6000</v>
      </c>
      <c r="P2007" s="13"/>
      <c r="Q2007" s="13"/>
      <c r="R2007" s="13"/>
      <c r="S2007" s="13"/>
      <c r="T2007" s="13"/>
      <c r="U2007" s="13"/>
      <c r="V2007" s="13"/>
      <c r="W2007" s="13"/>
      <c r="X2007" s="13"/>
      <c r="Y2007" s="13"/>
      <c r="Z2007" s="13"/>
      <c r="AA2007" s="13"/>
      <c r="AB2007" s="13"/>
      <c r="AC2007" s="13"/>
      <c r="AD2007" s="13"/>
      <c r="AE2007" s="13"/>
      <c r="AF2007" s="13"/>
      <c r="AG2007" s="13"/>
    </row>
    <row r="2008" spans="1:33" s="14" customFormat="1">
      <c r="A2008" s="10">
        <v>43207</v>
      </c>
      <c r="B2008" s="3" t="s">
        <v>239</v>
      </c>
      <c r="C2008" s="15" t="s">
        <v>47</v>
      </c>
      <c r="D2008" s="15">
        <v>220</v>
      </c>
      <c r="E2008" s="11">
        <v>5000</v>
      </c>
      <c r="F2008" s="3" t="s">
        <v>8</v>
      </c>
      <c r="G2008" s="46">
        <v>4.3499999999999996</v>
      </c>
      <c r="H2008" s="3">
        <v>4.7</v>
      </c>
      <c r="I2008" s="46">
        <v>0</v>
      </c>
      <c r="J2008" s="55">
        <v>0</v>
      </c>
      <c r="K2008" s="1">
        <f t="shared" ref="K2008" si="2889">(IF(F2008="SELL",G2008-H2008,IF(F2008="BUY",H2008-G2008)))*E2008</f>
        <v>1750.0000000000027</v>
      </c>
      <c r="L2008" s="51">
        <v>0</v>
      </c>
      <c r="M2008" s="52">
        <f>(IF(F2008="SELL",IF(J2008="",0,I2008-J2008),IF(F2008="BUY",IF(J2008="",0,(J2008-I2008)))))*E2008</f>
        <v>0</v>
      </c>
      <c r="N2008" s="2">
        <f t="shared" si="2886"/>
        <v>0.35000000000000053</v>
      </c>
      <c r="O2008" s="2">
        <f t="shared" si="2811"/>
        <v>1750.0000000000027</v>
      </c>
      <c r="P2008" s="13"/>
      <c r="Q2008" s="13"/>
      <c r="R2008" s="13"/>
      <c r="S2008" s="13"/>
      <c r="T2008" s="13"/>
      <c r="U2008" s="13"/>
      <c r="V2008" s="13"/>
      <c r="W2008" s="13"/>
      <c r="X2008" s="13"/>
      <c r="Y2008" s="13"/>
      <c r="Z2008" s="13"/>
      <c r="AA2008" s="13"/>
      <c r="AB2008" s="13"/>
      <c r="AC2008" s="13"/>
      <c r="AD2008" s="13"/>
      <c r="AE2008" s="13"/>
      <c r="AF2008" s="13"/>
      <c r="AG2008" s="13"/>
    </row>
    <row r="2009" spans="1:33" s="14" customFormat="1">
      <c r="A2009" s="10">
        <v>43207</v>
      </c>
      <c r="B2009" s="3" t="s">
        <v>211</v>
      </c>
      <c r="C2009" s="15" t="s">
        <v>47</v>
      </c>
      <c r="D2009" s="15">
        <v>940</v>
      </c>
      <c r="E2009" s="11">
        <v>1500</v>
      </c>
      <c r="F2009" s="3" t="s">
        <v>8</v>
      </c>
      <c r="G2009" s="46">
        <v>19.5</v>
      </c>
      <c r="H2009" s="3">
        <v>21</v>
      </c>
      <c r="I2009" s="46">
        <v>0</v>
      </c>
      <c r="J2009" s="55">
        <v>0</v>
      </c>
      <c r="K2009" s="1">
        <f t="shared" ref="K2009" si="2890">(IF(F2009="SELL",G2009-H2009,IF(F2009="BUY",H2009-G2009)))*E2009</f>
        <v>2250</v>
      </c>
      <c r="L2009" s="51">
        <v>0</v>
      </c>
      <c r="M2009" s="52">
        <v>0</v>
      </c>
      <c r="N2009" s="2">
        <f t="shared" si="2886"/>
        <v>1.5</v>
      </c>
      <c r="O2009" s="2">
        <f t="shared" si="2811"/>
        <v>2250</v>
      </c>
      <c r="P2009" s="13"/>
      <c r="Q2009" s="13"/>
      <c r="R2009" s="13"/>
      <c r="S2009" s="13"/>
      <c r="T2009" s="13"/>
      <c r="U2009" s="13"/>
      <c r="V2009" s="13"/>
      <c r="W2009" s="13"/>
      <c r="X2009" s="13"/>
      <c r="Y2009" s="13"/>
      <c r="Z2009" s="13"/>
      <c r="AA2009" s="13"/>
      <c r="AB2009" s="13"/>
      <c r="AC2009" s="13"/>
      <c r="AD2009" s="13"/>
      <c r="AE2009" s="13"/>
      <c r="AF2009" s="13"/>
      <c r="AG2009" s="13"/>
    </row>
    <row r="2010" spans="1:33" s="14" customFormat="1">
      <c r="A2010" s="10">
        <v>43207</v>
      </c>
      <c r="B2010" s="3" t="s">
        <v>269</v>
      </c>
      <c r="C2010" s="15" t="s">
        <v>47</v>
      </c>
      <c r="D2010" s="15">
        <v>77.5</v>
      </c>
      <c r="E2010" s="11">
        <v>12000</v>
      </c>
      <c r="F2010" s="3" t="s">
        <v>8</v>
      </c>
      <c r="G2010" s="46">
        <v>2.6</v>
      </c>
      <c r="H2010" s="3">
        <v>2</v>
      </c>
      <c r="I2010" s="46">
        <v>0</v>
      </c>
      <c r="J2010" s="55">
        <v>0</v>
      </c>
      <c r="K2010" s="1">
        <f t="shared" ref="K2010" si="2891">(IF(F2010="SELL",G2010-H2010,IF(F2010="BUY",H2010-G2010)))*E2010</f>
        <v>-7200.0000000000009</v>
      </c>
      <c r="L2010" s="51">
        <v>0</v>
      </c>
      <c r="M2010" s="52">
        <f t="shared" ref="M2010:M2016" si="2892">(IF(F2010="SELL",IF(J2010="",0,I2010-J2010),IF(F2010="BUY",IF(J2010="",0,(J2010-I2010)))))*E2010</f>
        <v>0</v>
      </c>
      <c r="N2010" s="2">
        <f t="shared" si="2886"/>
        <v>-0.60000000000000009</v>
      </c>
      <c r="O2010" s="2">
        <f t="shared" si="2811"/>
        <v>-7200.0000000000009</v>
      </c>
      <c r="P2010" s="13"/>
      <c r="Q2010" s="13"/>
      <c r="R2010" s="13"/>
      <c r="S2010" s="13"/>
      <c r="T2010" s="13"/>
      <c r="U2010" s="13"/>
      <c r="V2010" s="13"/>
      <c r="W2010" s="13"/>
      <c r="X2010" s="13"/>
      <c r="Y2010" s="13"/>
      <c r="Z2010" s="13"/>
      <c r="AA2010" s="13"/>
      <c r="AB2010" s="13"/>
      <c r="AC2010" s="13"/>
      <c r="AD2010" s="13"/>
      <c r="AE2010" s="13"/>
      <c r="AF2010" s="13"/>
      <c r="AG2010" s="13"/>
    </row>
    <row r="2011" spans="1:33" s="14" customFormat="1">
      <c r="A2011" s="10">
        <v>43206</v>
      </c>
      <c r="B2011" s="3" t="s">
        <v>219</v>
      </c>
      <c r="C2011" s="15" t="s">
        <v>47</v>
      </c>
      <c r="D2011" s="15">
        <v>560</v>
      </c>
      <c r="E2011" s="11">
        <v>1500</v>
      </c>
      <c r="F2011" s="3" t="s">
        <v>8</v>
      </c>
      <c r="G2011" s="46">
        <v>13.5</v>
      </c>
      <c r="H2011" s="3">
        <v>15</v>
      </c>
      <c r="I2011" s="46">
        <v>17</v>
      </c>
      <c r="J2011" s="55">
        <v>20</v>
      </c>
      <c r="K2011" s="1">
        <f t="shared" ref="K2011:K2012" si="2893">(IF(F2011="SELL",G2011-H2011,IF(F2011="BUY",H2011-G2011)))*E2011</f>
        <v>2250</v>
      </c>
      <c r="L2011" s="51">
        <f t="shared" ref="L2011" si="2894">(IF(F2011="SELL",IF(I2011="",0,H2011-I2011),IF(F2011="BUY",IF(I2011="",0,I2011-H2011))))*E2011</f>
        <v>3000</v>
      </c>
      <c r="M2011" s="52">
        <f t="shared" si="2892"/>
        <v>4500</v>
      </c>
      <c r="N2011" s="2">
        <f t="shared" si="2886"/>
        <v>6.5</v>
      </c>
      <c r="O2011" s="2">
        <f t="shared" si="2811"/>
        <v>9750</v>
      </c>
      <c r="P2011" s="13"/>
      <c r="Q2011" s="13"/>
      <c r="R2011" s="13"/>
      <c r="S2011" s="13"/>
      <c r="T2011" s="13"/>
      <c r="U2011" s="13"/>
      <c r="V2011" s="13"/>
      <c r="W2011" s="13"/>
      <c r="X2011" s="13"/>
      <c r="Y2011" s="13"/>
      <c r="Z2011" s="13"/>
      <c r="AA2011" s="13"/>
      <c r="AB2011" s="13"/>
      <c r="AC2011" s="13"/>
      <c r="AD2011" s="13"/>
      <c r="AE2011" s="13"/>
      <c r="AF2011" s="13"/>
      <c r="AG2011" s="13"/>
    </row>
    <row r="2012" spans="1:33" s="14" customFormat="1">
      <c r="A2012" s="10">
        <v>43206</v>
      </c>
      <c r="B2012" s="3" t="s">
        <v>218</v>
      </c>
      <c r="C2012" s="15" t="s">
        <v>47</v>
      </c>
      <c r="D2012" s="15">
        <v>560</v>
      </c>
      <c r="E2012" s="11">
        <v>1500</v>
      </c>
      <c r="F2012" s="3" t="s">
        <v>8</v>
      </c>
      <c r="G2012" s="46">
        <v>8</v>
      </c>
      <c r="H2012" s="3">
        <v>9</v>
      </c>
      <c r="I2012" s="46">
        <v>0</v>
      </c>
      <c r="J2012" s="55">
        <v>0</v>
      </c>
      <c r="K2012" s="1">
        <f t="shared" si="2893"/>
        <v>1500</v>
      </c>
      <c r="L2012" s="51">
        <v>0</v>
      </c>
      <c r="M2012" s="52">
        <f t="shared" si="2892"/>
        <v>0</v>
      </c>
      <c r="N2012" s="2">
        <f t="shared" si="2886"/>
        <v>1</v>
      </c>
      <c r="O2012" s="2">
        <f t="shared" si="2811"/>
        <v>1500</v>
      </c>
      <c r="P2012" s="13"/>
      <c r="Q2012" s="13"/>
      <c r="R2012" s="13"/>
      <c r="S2012" s="13"/>
      <c r="T2012" s="13"/>
      <c r="U2012" s="13"/>
      <c r="V2012" s="13"/>
      <c r="W2012" s="13"/>
      <c r="X2012" s="13"/>
      <c r="Y2012" s="13"/>
      <c r="Z2012" s="13"/>
      <c r="AA2012" s="13"/>
      <c r="AB2012" s="13"/>
      <c r="AC2012" s="13"/>
      <c r="AD2012" s="13"/>
      <c r="AE2012" s="13"/>
      <c r="AF2012" s="13"/>
      <c r="AG2012" s="13"/>
    </row>
    <row r="2013" spans="1:33" s="14" customFormat="1">
      <c r="A2013" s="10">
        <v>43206</v>
      </c>
      <c r="B2013" s="3" t="s">
        <v>270</v>
      </c>
      <c r="C2013" s="15" t="s">
        <v>47</v>
      </c>
      <c r="D2013" s="15">
        <v>255</v>
      </c>
      <c r="E2013" s="11">
        <v>4500</v>
      </c>
      <c r="F2013" s="3" t="s">
        <v>8</v>
      </c>
      <c r="G2013" s="46">
        <v>6.9</v>
      </c>
      <c r="H2013" s="3">
        <v>7.5</v>
      </c>
      <c r="I2013" s="46">
        <v>0</v>
      </c>
      <c r="J2013" s="55">
        <v>0</v>
      </c>
      <c r="K2013" s="1">
        <f t="shared" ref="K2013" si="2895">(IF(F2013="SELL",G2013-H2013,IF(F2013="BUY",H2013-G2013)))*E2013</f>
        <v>2699.9999999999982</v>
      </c>
      <c r="L2013" s="51">
        <v>0</v>
      </c>
      <c r="M2013" s="52">
        <f t="shared" si="2892"/>
        <v>0</v>
      </c>
      <c r="N2013" s="2">
        <f t="shared" si="2886"/>
        <v>0.59999999999999964</v>
      </c>
      <c r="O2013" s="2">
        <f t="shared" si="2811"/>
        <v>2699.9999999999982</v>
      </c>
      <c r="P2013" s="13"/>
      <c r="Q2013" s="13"/>
      <c r="R2013" s="13"/>
      <c r="S2013" s="13"/>
      <c r="T2013" s="13"/>
      <c r="U2013" s="13"/>
      <c r="V2013" s="13"/>
      <c r="W2013" s="13"/>
      <c r="X2013" s="13"/>
      <c r="Y2013" s="13"/>
      <c r="Z2013" s="13"/>
      <c r="AA2013" s="13"/>
      <c r="AB2013" s="13"/>
      <c r="AC2013" s="13"/>
      <c r="AD2013" s="13"/>
      <c r="AE2013" s="13"/>
      <c r="AF2013" s="13"/>
      <c r="AG2013" s="13"/>
    </row>
    <row r="2014" spans="1:33" s="14" customFormat="1">
      <c r="A2014" s="10">
        <v>43203</v>
      </c>
      <c r="B2014" s="3" t="s">
        <v>280</v>
      </c>
      <c r="C2014" s="15" t="s">
        <v>47</v>
      </c>
      <c r="D2014" s="15">
        <v>1650</v>
      </c>
      <c r="E2014" s="11">
        <v>600</v>
      </c>
      <c r="F2014" s="3" t="s">
        <v>8</v>
      </c>
      <c r="G2014" s="46">
        <v>22.5</v>
      </c>
      <c r="H2014" s="3">
        <v>25.5</v>
      </c>
      <c r="I2014" s="46">
        <v>0</v>
      </c>
      <c r="J2014" s="55">
        <v>0</v>
      </c>
      <c r="K2014" s="1">
        <f t="shared" ref="K2014" si="2896">(IF(F2014="SELL",G2014-H2014,IF(F2014="BUY",H2014-G2014)))*E2014</f>
        <v>1800</v>
      </c>
      <c r="L2014" s="51">
        <v>0</v>
      </c>
      <c r="M2014" s="52">
        <f t="shared" si="2892"/>
        <v>0</v>
      </c>
      <c r="N2014" s="2">
        <f t="shared" si="2886"/>
        <v>3</v>
      </c>
      <c r="O2014" s="2">
        <f t="shared" si="2811"/>
        <v>1800</v>
      </c>
      <c r="P2014" s="13"/>
      <c r="Q2014" s="13"/>
      <c r="R2014" s="13"/>
      <c r="S2014" s="13"/>
      <c r="T2014" s="13"/>
      <c r="U2014" s="13"/>
      <c r="V2014" s="13"/>
      <c r="W2014" s="13"/>
      <c r="X2014" s="13"/>
      <c r="Y2014" s="13"/>
      <c r="Z2014" s="13"/>
      <c r="AA2014" s="13"/>
      <c r="AB2014" s="13"/>
      <c r="AC2014" s="13"/>
      <c r="AD2014" s="13"/>
      <c r="AE2014" s="13"/>
      <c r="AF2014" s="13"/>
      <c r="AG2014" s="13"/>
    </row>
    <row r="2015" spans="1:33" s="14" customFormat="1">
      <c r="A2015" s="10">
        <v>43202</v>
      </c>
      <c r="B2015" s="3" t="s">
        <v>264</v>
      </c>
      <c r="C2015" s="15" t="s">
        <v>47</v>
      </c>
      <c r="D2015" s="15">
        <v>225</v>
      </c>
      <c r="E2015" s="11">
        <v>4500</v>
      </c>
      <c r="F2015" s="3" t="s">
        <v>8</v>
      </c>
      <c r="G2015" s="46">
        <v>8.85</v>
      </c>
      <c r="H2015" s="3">
        <v>9.4</v>
      </c>
      <c r="I2015" s="46">
        <v>0</v>
      </c>
      <c r="J2015" s="55">
        <v>0</v>
      </c>
      <c r="K2015" s="1">
        <f t="shared" ref="K2015" si="2897">(IF(F2015="SELL",G2015-H2015,IF(F2015="BUY",H2015-G2015)))*E2015</f>
        <v>2475.0000000000032</v>
      </c>
      <c r="L2015" s="51">
        <v>0</v>
      </c>
      <c r="M2015" s="52">
        <f t="shared" si="2892"/>
        <v>0</v>
      </c>
      <c r="N2015" s="2">
        <f t="shared" si="2886"/>
        <v>0.55000000000000071</v>
      </c>
      <c r="O2015" s="2">
        <f t="shared" si="2811"/>
        <v>2475.0000000000032</v>
      </c>
      <c r="P2015" s="13"/>
      <c r="Q2015" s="13"/>
      <c r="R2015" s="13"/>
      <c r="S2015" s="13"/>
      <c r="T2015" s="13"/>
      <c r="U2015" s="13"/>
      <c r="V2015" s="13"/>
      <c r="W2015" s="13"/>
      <c r="X2015" s="13"/>
      <c r="Y2015" s="13"/>
      <c r="Z2015" s="13"/>
      <c r="AA2015" s="13"/>
      <c r="AB2015" s="13"/>
      <c r="AC2015" s="13"/>
      <c r="AD2015" s="13"/>
      <c r="AE2015" s="13"/>
      <c r="AF2015" s="13"/>
      <c r="AG2015" s="13"/>
    </row>
    <row r="2016" spans="1:33" s="14" customFormat="1">
      <c r="A2016" s="10">
        <v>43201</v>
      </c>
      <c r="B2016" s="3" t="s">
        <v>37</v>
      </c>
      <c r="C2016" s="15" t="s">
        <v>47</v>
      </c>
      <c r="D2016" s="15">
        <v>3000</v>
      </c>
      <c r="E2016" s="11">
        <v>250</v>
      </c>
      <c r="F2016" s="3" t="s">
        <v>8</v>
      </c>
      <c r="G2016" s="46">
        <v>57</v>
      </c>
      <c r="H2016" s="3">
        <v>65</v>
      </c>
      <c r="I2016" s="46">
        <v>75</v>
      </c>
      <c r="J2016" s="55">
        <v>83.5</v>
      </c>
      <c r="K2016" s="1">
        <f t="shared" ref="K2016" si="2898">(IF(F2016="SELL",G2016-H2016,IF(F2016="BUY",H2016-G2016)))*E2016</f>
        <v>2000</v>
      </c>
      <c r="L2016" s="51">
        <f t="shared" ref="L2016" si="2899">(IF(F2016="SELL",IF(I2016="",0,H2016-I2016),IF(F2016="BUY",IF(I2016="",0,I2016-H2016))))*E2016</f>
        <v>2500</v>
      </c>
      <c r="M2016" s="52">
        <f t="shared" si="2892"/>
        <v>2125</v>
      </c>
      <c r="N2016" s="2">
        <f t="shared" si="2886"/>
        <v>26.5</v>
      </c>
      <c r="O2016" s="2">
        <f t="shared" ref="O2016:O2079" si="2900">N2016*E2016</f>
        <v>6625</v>
      </c>
      <c r="P2016" s="13"/>
      <c r="Q2016" s="13"/>
      <c r="R2016" s="13"/>
      <c r="S2016" s="13"/>
      <c r="T2016" s="13"/>
      <c r="U2016" s="13"/>
      <c r="V2016" s="13"/>
      <c r="W2016" s="13"/>
      <c r="X2016" s="13"/>
      <c r="Y2016" s="13"/>
      <c r="Z2016" s="13"/>
      <c r="AA2016" s="13"/>
      <c r="AB2016" s="13"/>
      <c r="AC2016" s="13"/>
      <c r="AD2016" s="13"/>
      <c r="AE2016" s="13"/>
      <c r="AF2016" s="13"/>
      <c r="AG2016" s="13"/>
    </row>
    <row r="2017" spans="1:33" s="14" customFormat="1">
      <c r="A2017" s="10">
        <v>43201</v>
      </c>
      <c r="B2017" s="3" t="s">
        <v>287</v>
      </c>
      <c r="C2017" s="15" t="s">
        <v>47</v>
      </c>
      <c r="D2017" s="15">
        <v>1340</v>
      </c>
      <c r="E2017" s="11">
        <v>750</v>
      </c>
      <c r="F2017" s="3" t="s">
        <v>8</v>
      </c>
      <c r="G2017" s="46">
        <v>26</v>
      </c>
      <c r="H2017" s="3">
        <v>29</v>
      </c>
      <c r="I2017" s="46">
        <v>0</v>
      </c>
      <c r="J2017" s="55">
        <v>0</v>
      </c>
      <c r="K2017" s="1">
        <f t="shared" ref="K2017" si="2901">(IF(F2017="SELL",G2017-H2017,IF(F2017="BUY",H2017-G2017)))*E2017</f>
        <v>2250</v>
      </c>
      <c r="L2017" s="51">
        <v>0</v>
      </c>
      <c r="M2017" s="52">
        <v>0</v>
      </c>
      <c r="N2017" s="2">
        <f t="shared" si="2886"/>
        <v>3</v>
      </c>
      <c r="O2017" s="2">
        <f t="shared" si="2900"/>
        <v>2250</v>
      </c>
      <c r="P2017" s="13"/>
      <c r="Q2017" s="13"/>
      <c r="R2017" s="13"/>
      <c r="S2017" s="13"/>
      <c r="T2017" s="13"/>
      <c r="U2017" s="13"/>
      <c r="V2017" s="13"/>
      <c r="W2017" s="13"/>
      <c r="X2017" s="13"/>
      <c r="Y2017" s="13"/>
      <c r="Z2017" s="13"/>
      <c r="AA2017" s="13"/>
      <c r="AB2017" s="13"/>
      <c r="AC2017" s="13"/>
      <c r="AD2017" s="13"/>
      <c r="AE2017" s="13"/>
      <c r="AF2017" s="13"/>
      <c r="AG2017" s="13"/>
    </row>
    <row r="2018" spans="1:33" s="14" customFormat="1">
      <c r="A2018" s="10">
        <v>43200</v>
      </c>
      <c r="B2018" s="3" t="s">
        <v>287</v>
      </c>
      <c r="C2018" s="15" t="s">
        <v>47</v>
      </c>
      <c r="D2018" s="15">
        <v>1360</v>
      </c>
      <c r="E2018" s="11">
        <v>750</v>
      </c>
      <c r="F2018" s="3" t="s">
        <v>8</v>
      </c>
      <c r="G2018" s="46">
        <v>18</v>
      </c>
      <c r="H2018" s="3">
        <v>21</v>
      </c>
      <c r="I2018" s="46">
        <v>0</v>
      </c>
      <c r="J2018" s="55">
        <v>0</v>
      </c>
      <c r="K2018" s="1">
        <f t="shared" ref="K2018" si="2902">(IF(F2018="SELL",G2018-H2018,IF(F2018="BUY",H2018-G2018)))*E2018</f>
        <v>2250</v>
      </c>
      <c r="L2018" s="51">
        <v>0</v>
      </c>
      <c r="M2018" s="52">
        <v>0</v>
      </c>
      <c r="N2018" s="2">
        <f t="shared" si="2886"/>
        <v>3</v>
      </c>
      <c r="O2018" s="2">
        <f t="shared" si="2900"/>
        <v>2250</v>
      </c>
      <c r="P2018" s="13"/>
      <c r="Q2018" s="13"/>
      <c r="R2018" s="13"/>
      <c r="S2018" s="13"/>
      <c r="T2018" s="13"/>
      <c r="U2018" s="13"/>
      <c r="V2018" s="13"/>
      <c r="W2018" s="13"/>
      <c r="X2018" s="13"/>
      <c r="Y2018" s="13"/>
      <c r="Z2018" s="13"/>
      <c r="AA2018" s="13"/>
      <c r="AB2018" s="13"/>
      <c r="AC2018" s="13"/>
      <c r="AD2018" s="13"/>
      <c r="AE2018" s="13"/>
      <c r="AF2018" s="13"/>
      <c r="AG2018" s="13"/>
    </row>
    <row r="2019" spans="1:33" s="14" customFormat="1">
      <c r="A2019" s="10">
        <v>43200</v>
      </c>
      <c r="B2019" s="3" t="s">
        <v>196</v>
      </c>
      <c r="C2019" s="15" t="s">
        <v>47</v>
      </c>
      <c r="D2019" s="15">
        <v>630</v>
      </c>
      <c r="E2019" s="11">
        <v>1200</v>
      </c>
      <c r="F2019" s="3" t="s">
        <v>8</v>
      </c>
      <c r="G2019" s="46">
        <v>13.7</v>
      </c>
      <c r="H2019" s="3">
        <v>15</v>
      </c>
      <c r="I2019" s="46">
        <v>6.25</v>
      </c>
      <c r="J2019" s="55">
        <v>0</v>
      </c>
      <c r="K2019" s="1">
        <f t="shared" ref="K2019" si="2903">(IF(F2019="SELL",G2019-H2019,IF(F2019="BUY",H2019-G2019)))*E2019</f>
        <v>1560.0000000000009</v>
      </c>
      <c r="L2019" s="51">
        <v>0</v>
      </c>
      <c r="M2019" s="52">
        <v>0</v>
      </c>
      <c r="N2019" s="2">
        <f t="shared" si="2886"/>
        <v>1.3000000000000007</v>
      </c>
      <c r="O2019" s="2">
        <f t="shared" si="2900"/>
        <v>1560.0000000000009</v>
      </c>
      <c r="P2019" s="13"/>
      <c r="Q2019" s="13"/>
      <c r="R2019" s="13"/>
      <c r="S2019" s="13"/>
      <c r="T2019" s="13"/>
      <c r="U2019" s="13"/>
      <c r="V2019" s="13"/>
      <c r="W2019" s="13"/>
      <c r="X2019" s="13"/>
      <c r="Y2019" s="13"/>
      <c r="Z2019" s="13"/>
      <c r="AA2019" s="13"/>
      <c r="AB2019" s="13"/>
      <c r="AC2019" s="13"/>
      <c r="AD2019" s="13"/>
      <c r="AE2019" s="13"/>
      <c r="AF2019" s="13"/>
      <c r="AG2019" s="13"/>
    </row>
    <row r="2020" spans="1:33" s="14" customFormat="1">
      <c r="A2020" s="10">
        <v>43200</v>
      </c>
      <c r="B2020" s="3" t="s">
        <v>211</v>
      </c>
      <c r="C2020" s="15" t="s">
        <v>47</v>
      </c>
      <c r="D2020" s="15">
        <v>920</v>
      </c>
      <c r="E2020" s="11">
        <v>1500</v>
      </c>
      <c r="F2020" s="3" t="s">
        <v>8</v>
      </c>
      <c r="G2020" s="46">
        <v>21</v>
      </c>
      <c r="H2020" s="3">
        <v>0</v>
      </c>
      <c r="I2020" s="46">
        <v>0</v>
      </c>
      <c r="J2020" s="55">
        <v>0</v>
      </c>
      <c r="K2020" s="1">
        <v>0</v>
      </c>
      <c r="L2020" s="51">
        <f t="shared" ref="L2020" si="2904">(IF(F2020="SELL",IF(I2020="",0,H2020-I2020),IF(F2020="BUY",IF(I2020="",0,I2020-H2020))))*E2020</f>
        <v>0</v>
      </c>
      <c r="M2020" s="52">
        <v>0</v>
      </c>
      <c r="N2020" s="2">
        <f t="shared" si="2886"/>
        <v>0</v>
      </c>
      <c r="O2020" s="2">
        <f t="shared" si="2900"/>
        <v>0</v>
      </c>
      <c r="P2020" s="13"/>
      <c r="Q2020" s="13"/>
      <c r="R2020" s="13"/>
      <c r="S2020" s="13"/>
      <c r="T2020" s="13"/>
      <c r="U2020" s="13"/>
      <c r="V2020" s="13"/>
      <c r="W2020" s="13"/>
      <c r="X2020" s="13"/>
      <c r="Y2020" s="13"/>
      <c r="Z2020" s="13"/>
      <c r="AA2020" s="13"/>
      <c r="AB2020" s="13"/>
      <c r="AC2020" s="13"/>
      <c r="AD2020" s="13"/>
      <c r="AE2020" s="13"/>
      <c r="AF2020" s="13"/>
      <c r="AG2020" s="13"/>
    </row>
    <row r="2021" spans="1:33" s="14" customFormat="1">
      <c r="A2021" s="10">
        <v>43199</v>
      </c>
      <c r="B2021" s="3" t="s">
        <v>179</v>
      </c>
      <c r="C2021" s="15" t="s">
        <v>47</v>
      </c>
      <c r="D2021" s="15">
        <v>155</v>
      </c>
      <c r="E2021" s="11">
        <v>4000</v>
      </c>
      <c r="F2021" s="3" t="s">
        <v>8</v>
      </c>
      <c r="G2021" s="46">
        <v>4.75</v>
      </c>
      <c r="H2021" s="3">
        <v>5.25</v>
      </c>
      <c r="I2021" s="46">
        <v>6.25</v>
      </c>
      <c r="J2021" s="55">
        <v>0</v>
      </c>
      <c r="K2021" s="1">
        <f t="shared" ref="K2021" si="2905">(IF(F2021="SELL",G2021-H2021,IF(F2021="BUY",H2021-G2021)))*E2021</f>
        <v>2000</v>
      </c>
      <c r="L2021" s="51">
        <f t="shared" ref="L2021:L2022" si="2906">(IF(F2021="SELL",IF(I2021="",0,H2021-I2021),IF(F2021="BUY",IF(I2021="",0,I2021-H2021))))*E2021</f>
        <v>4000</v>
      </c>
      <c r="M2021" s="52">
        <v>0</v>
      </c>
      <c r="N2021" s="2">
        <f t="shared" si="2886"/>
        <v>1.5</v>
      </c>
      <c r="O2021" s="2">
        <f t="shared" si="2900"/>
        <v>6000</v>
      </c>
      <c r="P2021" s="13"/>
      <c r="Q2021" s="13"/>
      <c r="R2021" s="13"/>
      <c r="S2021" s="13"/>
      <c r="T2021" s="13"/>
      <c r="U2021" s="13"/>
      <c r="V2021" s="13"/>
      <c r="W2021" s="13"/>
      <c r="X2021" s="13"/>
      <c r="Y2021" s="13"/>
      <c r="Z2021" s="13"/>
      <c r="AA2021" s="13"/>
      <c r="AB2021" s="13"/>
      <c r="AC2021" s="13"/>
      <c r="AD2021" s="13"/>
      <c r="AE2021" s="13"/>
      <c r="AF2021" s="13"/>
      <c r="AG2021" s="13"/>
    </row>
    <row r="2022" spans="1:33" s="14" customFormat="1">
      <c r="A2022" s="10">
        <v>43199</v>
      </c>
      <c r="B2022" s="3" t="s">
        <v>286</v>
      </c>
      <c r="C2022" s="15" t="s">
        <v>47</v>
      </c>
      <c r="D2022" s="15">
        <v>1400</v>
      </c>
      <c r="E2022" s="11">
        <v>600</v>
      </c>
      <c r="F2022" s="3" t="s">
        <v>8</v>
      </c>
      <c r="G2022" s="46">
        <v>14</v>
      </c>
      <c r="H2022" s="3">
        <v>17</v>
      </c>
      <c r="I2022" s="46">
        <v>19.5</v>
      </c>
      <c r="J2022" s="55">
        <v>0</v>
      </c>
      <c r="K2022" s="1">
        <f t="shared" ref="K2022" si="2907">(IF(F2022="SELL",G2022-H2022,IF(F2022="BUY",H2022-G2022)))*E2022</f>
        <v>1800</v>
      </c>
      <c r="L2022" s="51">
        <f t="shared" si="2906"/>
        <v>1500</v>
      </c>
      <c r="M2022" s="52">
        <v>0</v>
      </c>
      <c r="N2022" s="2">
        <f t="shared" si="2886"/>
        <v>5.5</v>
      </c>
      <c r="O2022" s="2">
        <f t="shared" si="2900"/>
        <v>3300</v>
      </c>
      <c r="P2022" s="13"/>
      <c r="Q2022" s="13"/>
      <c r="R2022" s="13"/>
      <c r="S2022" s="13"/>
      <c r="T2022" s="13"/>
      <c r="U2022" s="13"/>
      <c r="V2022" s="13"/>
      <c r="W2022" s="13"/>
      <c r="X2022" s="13"/>
      <c r="Y2022" s="13"/>
      <c r="Z2022" s="13"/>
      <c r="AA2022" s="13"/>
      <c r="AB2022" s="13"/>
      <c r="AC2022" s="13"/>
      <c r="AD2022" s="13"/>
      <c r="AE2022" s="13"/>
      <c r="AF2022" s="13"/>
      <c r="AG2022" s="13"/>
    </row>
    <row r="2023" spans="1:33" s="14" customFormat="1">
      <c r="A2023" s="10">
        <v>43199</v>
      </c>
      <c r="B2023" s="3" t="s">
        <v>270</v>
      </c>
      <c r="C2023" s="15" t="s">
        <v>47</v>
      </c>
      <c r="D2023" s="15">
        <v>245</v>
      </c>
      <c r="E2023" s="11">
        <v>4500</v>
      </c>
      <c r="F2023" s="3" t="s">
        <v>8</v>
      </c>
      <c r="G2023" s="46">
        <v>9</v>
      </c>
      <c r="H2023" s="3">
        <v>9.5</v>
      </c>
      <c r="I2023" s="46">
        <v>0</v>
      </c>
      <c r="J2023" s="55">
        <v>0</v>
      </c>
      <c r="K2023" s="1">
        <f t="shared" ref="K2023" si="2908">(IF(F2023="SELL",G2023-H2023,IF(F2023="BUY",H2023-G2023)))*E2023</f>
        <v>2250</v>
      </c>
      <c r="L2023" s="51">
        <v>0</v>
      </c>
      <c r="M2023" s="52">
        <v>0</v>
      </c>
      <c r="N2023" s="2">
        <f t="shared" si="2886"/>
        <v>0.5</v>
      </c>
      <c r="O2023" s="2">
        <f t="shared" si="2900"/>
        <v>2250</v>
      </c>
      <c r="P2023" s="13"/>
      <c r="Q2023" s="13"/>
      <c r="R2023" s="13"/>
      <c r="S2023" s="13"/>
      <c r="T2023" s="13"/>
      <c r="U2023" s="13"/>
      <c r="V2023" s="13"/>
      <c r="W2023" s="13"/>
      <c r="X2023" s="13"/>
      <c r="Y2023" s="13"/>
      <c r="Z2023" s="13"/>
      <c r="AA2023" s="13"/>
      <c r="AB2023" s="13"/>
      <c r="AC2023" s="13"/>
      <c r="AD2023" s="13"/>
      <c r="AE2023" s="13"/>
      <c r="AF2023" s="13"/>
      <c r="AG2023" s="13"/>
    </row>
    <row r="2024" spans="1:33" s="14" customFormat="1">
      <c r="A2024" s="10">
        <v>43196</v>
      </c>
      <c r="B2024" s="3" t="s">
        <v>258</v>
      </c>
      <c r="C2024" s="15" t="s">
        <v>47</v>
      </c>
      <c r="D2024" s="15">
        <v>115</v>
      </c>
      <c r="E2024" s="11">
        <v>6000</v>
      </c>
      <c r="F2024" s="3" t="s">
        <v>8</v>
      </c>
      <c r="G2024" s="46">
        <v>4.5</v>
      </c>
      <c r="H2024" s="3">
        <v>5</v>
      </c>
      <c r="I2024" s="46">
        <v>0</v>
      </c>
      <c r="J2024" s="55">
        <v>0</v>
      </c>
      <c r="K2024" s="1">
        <f t="shared" ref="K2024" si="2909">(IF(F2024="SELL",G2024-H2024,IF(F2024="BUY",H2024-G2024)))*E2024</f>
        <v>3000</v>
      </c>
      <c r="L2024" s="51">
        <v>0</v>
      </c>
      <c r="M2024" s="52">
        <v>0</v>
      </c>
      <c r="N2024" s="2">
        <f t="shared" si="2886"/>
        <v>0.5</v>
      </c>
      <c r="O2024" s="2">
        <f t="shared" si="2900"/>
        <v>3000</v>
      </c>
      <c r="P2024" s="13"/>
      <c r="Q2024" s="13"/>
      <c r="R2024" s="13"/>
      <c r="S2024" s="13"/>
      <c r="T2024" s="13"/>
      <c r="U2024" s="13"/>
      <c r="V2024" s="13"/>
      <c r="W2024" s="13"/>
      <c r="X2024" s="13"/>
      <c r="Y2024" s="13"/>
      <c r="Z2024" s="13"/>
      <c r="AA2024" s="13"/>
      <c r="AB2024" s="13"/>
      <c r="AC2024" s="13"/>
      <c r="AD2024" s="13"/>
      <c r="AE2024" s="13"/>
      <c r="AF2024" s="13"/>
      <c r="AG2024" s="13"/>
    </row>
    <row r="2025" spans="1:33" s="14" customFormat="1">
      <c r="A2025" s="10">
        <v>43196</v>
      </c>
      <c r="B2025" s="3" t="s">
        <v>264</v>
      </c>
      <c r="C2025" s="15" t="s">
        <v>47</v>
      </c>
      <c r="D2025" s="15">
        <v>115</v>
      </c>
      <c r="E2025" s="11">
        <v>4500</v>
      </c>
      <c r="F2025" s="3" t="s">
        <v>8</v>
      </c>
      <c r="G2025" s="46">
        <v>6</v>
      </c>
      <c r="H2025" s="3">
        <v>6.4</v>
      </c>
      <c r="I2025" s="46">
        <v>6.75</v>
      </c>
      <c r="J2025" s="55">
        <v>0</v>
      </c>
      <c r="K2025" s="1">
        <f t="shared" ref="K2025" si="2910">(IF(F2025="SELL",G2025-H2025,IF(F2025="BUY",H2025-G2025)))*E2025</f>
        <v>1800.0000000000016</v>
      </c>
      <c r="L2025" s="51">
        <f t="shared" ref="L2025" si="2911">(IF(F2025="SELL",IF(I2025="",0,H2025-I2025),IF(F2025="BUY",IF(I2025="",0,I2025-H2025))))*E2025</f>
        <v>1574.9999999999984</v>
      </c>
      <c r="M2025" s="52">
        <v>0</v>
      </c>
      <c r="N2025" s="2">
        <f t="shared" si="2886"/>
        <v>0.75</v>
      </c>
      <c r="O2025" s="2">
        <f t="shared" si="2900"/>
        <v>3375</v>
      </c>
      <c r="P2025" s="13"/>
      <c r="Q2025" s="13"/>
      <c r="R2025" s="13"/>
      <c r="S2025" s="13"/>
      <c r="T2025" s="13"/>
      <c r="U2025" s="13"/>
      <c r="V2025" s="13"/>
      <c r="W2025" s="13"/>
      <c r="X2025" s="13"/>
      <c r="Y2025" s="13"/>
      <c r="Z2025" s="13"/>
      <c r="AA2025" s="13"/>
      <c r="AB2025" s="13"/>
      <c r="AC2025" s="13"/>
      <c r="AD2025" s="13"/>
      <c r="AE2025" s="13"/>
      <c r="AF2025" s="13"/>
      <c r="AG2025" s="13"/>
    </row>
    <row r="2026" spans="1:33" s="14" customFormat="1">
      <c r="A2026" s="10">
        <v>43195</v>
      </c>
      <c r="B2026" s="3" t="s">
        <v>146</v>
      </c>
      <c r="C2026" s="15" t="s">
        <v>47</v>
      </c>
      <c r="D2026" s="15">
        <v>210</v>
      </c>
      <c r="E2026" s="11">
        <v>2500</v>
      </c>
      <c r="F2026" s="3" t="s">
        <v>8</v>
      </c>
      <c r="G2026" s="46">
        <v>10</v>
      </c>
      <c r="H2026" s="3">
        <v>11</v>
      </c>
      <c r="I2026" s="46">
        <v>12</v>
      </c>
      <c r="J2026" s="55">
        <v>0</v>
      </c>
      <c r="K2026" s="1">
        <f t="shared" ref="K2026" si="2912">(IF(F2026="SELL",G2026-H2026,IF(F2026="BUY",H2026-G2026)))*E2026</f>
        <v>2500</v>
      </c>
      <c r="L2026" s="51">
        <f t="shared" ref="L2026" si="2913">(IF(F2026="SELL",IF(I2026="",0,H2026-I2026),IF(F2026="BUY",IF(I2026="",0,I2026-H2026))))*E2026</f>
        <v>2500</v>
      </c>
      <c r="M2026" s="52">
        <v>0</v>
      </c>
      <c r="N2026" s="2">
        <f t="shared" si="2886"/>
        <v>2</v>
      </c>
      <c r="O2026" s="2">
        <f t="shared" si="2900"/>
        <v>5000</v>
      </c>
      <c r="P2026" s="13"/>
      <c r="Q2026" s="13"/>
      <c r="R2026" s="13"/>
      <c r="S2026" s="13"/>
      <c r="T2026" s="13"/>
      <c r="U2026" s="13"/>
      <c r="V2026" s="13"/>
      <c r="W2026" s="13"/>
      <c r="X2026" s="13"/>
      <c r="Y2026" s="13"/>
      <c r="Z2026" s="13"/>
      <c r="AA2026" s="13"/>
      <c r="AB2026" s="13"/>
      <c r="AC2026" s="13"/>
      <c r="AD2026" s="13"/>
      <c r="AE2026" s="13"/>
      <c r="AF2026" s="13"/>
      <c r="AG2026" s="13"/>
    </row>
    <row r="2027" spans="1:33" s="14" customFormat="1">
      <c r="A2027" s="10">
        <v>43195</v>
      </c>
      <c r="B2027" s="3" t="s">
        <v>285</v>
      </c>
      <c r="C2027" s="15" t="s">
        <v>47</v>
      </c>
      <c r="D2027" s="15">
        <v>380</v>
      </c>
      <c r="E2027" s="11">
        <v>3200</v>
      </c>
      <c r="F2027" s="3" t="s">
        <v>8</v>
      </c>
      <c r="G2027" s="46">
        <v>9</v>
      </c>
      <c r="H2027" s="3">
        <v>9.5</v>
      </c>
      <c r="I2027" s="46">
        <v>10</v>
      </c>
      <c r="J2027" s="55">
        <v>0</v>
      </c>
      <c r="K2027" s="1">
        <f t="shared" ref="K2027" si="2914">(IF(F2027="SELL",G2027-H2027,IF(F2027="BUY",H2027-G2027)))*E2027</f>
        <v>1600</v>
      </c>
      <c r="L2027" s="51">
        <f t="shared" ref="L2027" si="2915">(IF(F2027="SELL",IF(I2027="",0,H2027-I2027),IF(F2027="BUY",IF(I2027="",0,I2027-H2027))))*E2027</f>
        <v>1600</v>
      </c>
      <c r="M2027" s="52">
        <v>0</v>
      </c>
      <c r="N2027" s="2">
        <f t="shared" si="2886"/>
        <v>1</v>
      </c>
      <c r="O2027" s="2">
        <f t="shared" si="2900"/>
        <v>3200</v>
      </c>
      <c r="P2027" s="13"/>
      <c r="Q2027" s="13"/>
      <c r="R2027" s="13"/>
      <c r="S2027" s="13"/>
      <c r="T2027" s="13"/>
      <c r="U2027" s="13"/>
      <c r="V2027" s="13"/>
      <c r="W2027" s="13"/>
      <c r="X2027" s="13"/>
      <c r="Y2027" s="13"/>
      <c r="Z2027" s="13"/>
      <c r="AA2027" s="13"/>
      <c r="AB2027" s="13"/>
      <c r="AC2027" s="13"/>
      <c r="AD2027" s="13"/>
      <c r="AE2027" s="13"/>
      <c r="AF2027" s="13"/>
      <c r="AG2027" s="13"/>
    </row>
    <row r="2028" spans="1:33" s="14" customFormat="1">
      <c r="A2028" s="10">
        <v>43194</v>
      </c>
      <c r="B2028" s="3" t="s">
        <v>239</v>
      </c>
      <c r="C2028" s="15" t="s">
        <v>47</v>
      </c>
      <c r="D2028" s="15">
        <v>210</v>
      </c>
      <c r="E2028" s="11">
        <v>5000</v>
      </c>
      <c r="F2028" s="3" t="s">
        <v>8</v>
      </c>
      <c r="G2028" s="46">
        <v>7</v>
      </c>
      <c r="H2028" s="3">
        <v>7.35</v>
      </c>
      <c r="I2028" s="46">
        <v>8</v>
      </c>
      <c r="J2028" s="55">
        <v>0</v>
      </c>
      <c r="K2028" s="1">
        <f t="shared" ref="K2028:K2029" si="2916">(IF(F2028="SELL",G2028-H2028,IF(F2028="BUY",H2028-G2028)))*E2028</f>
        <v>1749.9999999999982</v>
      </c>
      <c r="L2028" s="51">
        <f t="shared" ref="L2028:L2029" si="2917">(IF(F2028="SELL",IF(I2028="",0,H2028-I2028),IF(F2028="BUY",IF(I2028="",0,I2028-H2028))))*E2028</f>
        <v>3250.0000000000018</v>
      </c>
      <c r="M2028" s="52">
        <v>0</v>
      </c>
      <c r="N2028" s="2">
        <f t="shared" si="2886"/>
        <v>1</v>
      </c>
      <c r="O2028" s="2">
        <f t="shared" si="2900"/>
        <v>5000</v>
      </c>
      <c r="P2028" s="13"/>
      <c r="Q2028" s="13"/>
      <c r="R2028" s="13"/>
      <c r="S2028" s="13"/>
      <c r="T2028" s="13"/>
      <c r="U2028" s="13"/>
      <c r="V2028" s="13"/>
      <c r="W2028" s="13"/>
      <c r="X2028" s="13"/>
      <c r="Y2028" s="13"/>
      <c r="Z2028" s="13"/>
      <c r="AA2028" s="13"/>
      <c r="AB2028" s="13"/>
      <c r="AC2028" s="13"/>
      <c r="AD2028" s="13"/>
      <c r="AE2028" s="13"/>
      <c r="AF2028" s="13"/>
      <c r="AG2028" s="13"/>
    </row>
    <row r="2029" spans="1:33" s="14" customFormat="1">
      <c r="A2029" s="10">
        <v>43194</v>
      </c>
      <c r="B2029" s="3" t="s">
        <v>272</v>
      </c>
      <c r="C2029" s="15" t="s">
        <v>47</v>
      </c>
      <c r="D2029" s="15">
        <v>115</v>
      </c>
      <c r="E2029" s="11">
        <v>9000</v>
      </c>
      <c r="F2029" s="3" t="s">
        <v>8</v>
      </c>
      <c r="G2029" s="46">
        <v>4.5</v>
      </c>
      <c r="H2029" s="3">
        <v>4.8</v>
      </c>
      <c r="I2029" s="46">
        <v>5.25</v>
      </c>
      <c r="J2029" s="55">
        <v>0</v>
      </c>
      <c r="K2029" s="1">
        <f t="shared" si="2916"/>
        <v>2699.9999999999982</v>
      </c>
      <c r="L2029" s="51">
        <f t="shared" si="2917"/>
        <v>4050.0000000000018</v>
      </c>
      <c r="M2029" s="52">
        <v>0</v>
      </c>
      <c r="N2029" s="2">
        <f t="shared" si="2886"/>
        <v>0.75</v>
      </c>
      <c r="O2029" s="2">
        <f t="shared" si="2900"/>
        <v>6750</v>
      </c>
      <c r="P2029" s="13"/>
      <c r="Q2029" s="13"/>
      <c r="R2029" s="13"/>
      <c r="S2029" s="13"/>
      <c r="T2029" s="13"/>
      <c r="U2029" s="13"/>
      <c r="V2029" s="13"/>
      <c r="W2029" s="13"/>
      <c r="X2029" s="13"/>
      <c r="Y2029" s="13"/>
      <c r="Z2029" s="13"/>
      <c r="AA2029" s="13"/>
      <c r="AB2029" s="13"/>
      <c r="AC2029" s="13"/>
      <c r="AD2029" s="13"/>
      <c r="AE2029" s="13"/>
      <c r="AF2029" s="13"/>
      <c r="AG2029" s="13"/>
    </row>
    <row r="2030" spans="1:33" s="14" customFormat="1">
      <c r="A2030" s="10">
        <v>43194</v>
      </c>
      <c r="B2030" s="3" t="s">
        <v>146</v>
      </c>
      <c r="C2030" s="15" t="s">
        <v>47</v>
      </c>
      <c r="D2030" s="15">
        <v>380</v>
      </c>
      <c r="E2030" s="11">
        <v>2500</v>
      </c>
      <c r="F2030" s="3" t="s">
        <v>8</v>
      </c>
      <c r="G2030" s="46">
        <v>8.25</v>
      </c>
      <c r="H2030" s="3">
        <v>9</v>
      </c>
      <c r="I2030" s="46">
        <v>0</v>
      </c>
      <c r="J2030" s="55">
        <v>0</v>
      </c>
      <c r="K2030" s="1">
        <f t="shared" ref="K2030" si="2918">(IF(F2030="SELL",G2030-H2030,IF(F2030="BUY",H2030-G2030)))*E2030</f>
        <v>1875</v>
      </c>
      <c r="L2030" s="51">
        <v>0</v>
      </c>
      <c r="M2030" s="52">
        <v>0</v>
      </c>
      <c r="N2030" s="2">
        <f t="shared" si="2886"/>
        <v>0.75</v>
      </c>
      <c r="O2030" s="2">
        <f t="shared" si="2900"/>
        <v>1875</v>
      </c>
      <c r="P2030" s="13"/>
      <c r="Q2030" s="13"/>
      <c r="R2030" s="13"/>
      <c r="S2030" s="13"/>
      <c r="T2030" s="13"/>
      <c r="U2030" s="13"/>
      <c r="V2030" s="13"/>
      <c r="W2030" s="13"/>
      <c r="X2030" s="13"/>
      <c r="Y2030" s="13"/>
      <c r="Z2030" s="13"/>
      <c r="AA2030" s="13"/>
      <c r="AB2030" s="13"/>
      <c r="AC2030" s="13"/>
      <c r="AD2030" s="13"/>
      <c r="AE2030" s="13"/>
      <c r="AF2030" s="13"/>
      <c r="AG2030" s="13"/>
    </row>
    <row r="2031" spans="1:33" s="14" customFormat="1">
      <c r="A2031" s="10">
        <v>43193</v>
      </c>
      <c r="B2031" s="3" t="s">
        <v>284</v>
      </c>
      <c r="C2031" s="15" t="s">
        <v>47</v>
      </c>
      <c r="D2031" s="15">
        <v>760</v>
      </c>
      <c r="E2031" s="11">
        <v>1000</v>
      </c>
      <c r="F2031" s="3" t="s">
        <v>8</v>
      </c>
      <c r="G2031" s="46">
        <v>13</v>
      </c>
      <c r="H2031" s="3">
        <v>14.5</v>
      </c>
      <c r="I2031" s="46">
        <v>16.5</v>
      </c>
      <c r="J2031" s="55">
        <v>18.5</v>
      </c>
      <c r="K2031" s="1">
        <f t="shared" ref="K2031" si="2919">(IF(F2031="SELL",G2031-H2031,IF(F2031="BUY",H2031-G2031)))*E2031</f>
        <v>1500</v>
      </c>
      <c r="L2031" s="51">
        <f t="shared" ref="L2031:L2032" si="2920">(IF(F2031="SELL",IF(I2031="",0,H2031-I2031),IF(F2031="BUY",IF(I2031="",0,I2031-H2031))))*E2031</f>
        <v>2000</v>
      </c>
      <c r="M2031" s="52">
        <f>(IF(F2031="SELL",IF(J2031="",0,I2031-J2031),IF(F2031="BUY",IF(J2031="",0,(J2031-I2031)))))*E2031</f>
        <v>2000</v>
      </c>
      <c r="N2031" s="2">
        <f t="shared" si="2886"/>
        <v>5.5</v>
      </c>
      <c r="O2031" s="2">
        <f t="shared" si="2900"/>
        <v>5500</v>
      </c>
      <c r="P2031" s="13"/>
      <c r="Q2031" s="13"/>
      <c r="R2031" s="13"/>
      <c r="S2031" s="13"/>
      <c r="T2031" s="13"/>
      <c r="U2031" s="13"/>
      <c r="V2031" s="13"/>
      <c r="W2031" s="13"/>
      <c r="X2031" s="13"/>
      <c r="Y2031" s="13"/>
      <c r="Z2031" s="13"/>
      <c r="AA2031" s="13"/>
      <c r="AB2031" s="13"/>
      <c r="AC2031" s="13"/>
      <c r="AD2031" s="13"/>
      <c r="AE2031" s="13"/>
      <c r="AF2031" s="13"/>
      <c r="AG2031" s="13"/>
    </row>
    <row r="2032" spans="1:33" s="14" customFormat="1">
      <c r="A2032" s="10">
        <v>43193</v>
      </c>
      <c r="B2032" s="3" t="s">
        <v>161</v>
      </c>
      <c r="C2032" s="15" t="s">
        <v>47</v>
      </c>
      <c r="D2032" s="15">
        <v>440</v>
      </c>
      <c r="E2032" s="11">
        <v>1500</v>
      </c>
      <c r="F2032" s="3" t="s">
        <v>8</v>
      </c>
      <c r="G2032" s="46">
        <v>12.5</v>
      </c>
      <c r="H2032" s="3">
        <v>13.5</v>
      </c>
      <c r="I2032" s="46">
        <v>14.5</v>
      </c>
      <c r="J2032" s="55">
        <v>0</v>
      </c>
      <c r="K2032" s="1">
        <f t="shared" ref="K2032" si="2921">(IF(F2032="SELL",G2032-H2032,IF(F2032="BUY",H2032-G2032)))*E2032</f>
        <v>1500</v>
      </c>
      <c r="L2032" s="51">
        <f t="shared" si="2920"/>
        <v>1500</v>
      </c>
      <c r="M2032" s="52">
        <v>0</v>
      </c>
      <c r="N2032" s="2">
        <f t="shared" si="2886"/>
        <v>2</v>
      </c>
      <c r="O2032" s="2">
        <f t="shared" si="2900"/>
        <v>3000</v>
      </c>
      <c r="P2032" s="13"/>
      <c r="Q2032" s="13"/>
      <c r="R2032" s="13"/>
      <c r="S2032" s="13"/>
      <c r="T2032" s="13"/>
      <c r="U2032" s="13"/>
      <c r="V2032" s="13"/>
      <c r="W2032" s="13"/>
      <c r="X2032" s="13"/>
      <c r="Y2032" s="13"/>
      <c r="Z2032" s="13"/>
      <c r="AA2032" s="13"/>
      <c r="AB2032" s="13"/>
      <c r="AC2032" s="13"/>
      <c r="AD2032" s="13"/>
      <c r="AE2032" s="13"/>
      <c r="AF2032" s="13"/>
      <c r="AG2032" s="13"/>
    </row>
    <row r="2033" spans="1:33" s="14" customFormat="1">
      <c r="A2033" s="10">
        <v>43193</v>
      </c>
      <c r="B2033" s="3" t="s">
        <v>283</v>
      </c>
      <c r="C2033" s="15" t="s">
        <v>47</v>
      </c>
      <c r="D2033" s="15">
        <v>110</v>
      </c>
      <c r="E2033" s="11">
        <v>6000</v>
      </c>
      <c r="F2033" s="3" t="s">
        <v>8</v>
      </c>
      <c r="G2033" s="46">
        <v>5.5</v>
      </c>
      <c r="H2033" s="3">
        <v>6</v>
      </c>
      <c r="I2033" s="46">
        <v>0</v>
      </c>
      <c r="J2033" s="55">
        <v>0</v>
      </c>
      <c r="K2033" s="1">
        <f t="shared" ref="K2033" si="2922">(IF(F2033="SELL",G2033-H2033,IF(F2033="BUY",H2033-G2033)))*E2033</f>
        <v>3000</v>
      </c>
      <c r="L2033" s="51">
        <v>0</v>
      </c>
      <c r="M2033" s="52">
        <v>0</v>
      </c>
      <c r="N2033" s="2">
        <f t="shared" si="2886"/>
        <v>0.5</v>
      </c>
      <c r="O2033" s="2">
        <f t="shared" si="2900"/>
        <v>3000</v>
      </c>
      <c r="P2033" s="13"/>
      <c r="Q2033" s="13"/>
      <c r="R2033" s="13"/>
      <c r="S2033" s="13"/>
      <c r="T2033" s="13"/>
      <c r="U2033" s="13"/>
      <c r="V2033" s="13"/>
      <c r="W2033" s="13"/>
      <c r="X2033" s="13"/>
      <c r="Y2033" s="13"/>
      <c r="Z2033" s="13"/>
      <c r="AA2033" s="13"/>
      <c r="AB2033" s="13"/>
      <c r="AC2033" s="13"/>
      <c r="AD2033" s="13"/>
      <c r="AE2033" s="13"/>
      <c r="AF2033" s="13"/>
      <c r="AG2033" s="13"/>
    </row>
    <row r="2034" spans="1:33" s="14" customFormat="1">
      <c r="A2034" s="10">
        <v>43192</v>
      </c>
      <c r="B2034" s="3" t="s">
        <v>232</v>
      </c>
      <c r="C2034" s="15" t="s">
        <v>47</v>
      </c>
      <c r="D2034" s="15">
        <v>460</v>
      </c>
      <c r="E2034" s="11">
        <v>1300</v>
      </c>
      <c r="F2034" s="3" t="s">
        <v>8</v>
      </c>
      <c r="G2034" s="46">
        <v>11</v>
      </c>
      <c r="H2034" s="3">
        <v>14</v>
      </c>
      <c r="I2034" s="46">
        <v>0</v>
      </c>
      <c r="J2034" s="55">
        <v>0</v>
      </c>
      <c r="K2034" s="1">
        <f t="shared" ref="K2034" si="2923">(IF(F2034="SELL",G2034-H2034,IF(F2034="BUY",H2034-G2034)))*E2034</f>
        <v>3900</v>
      </c>
      <c r="L2034" s="51">
        <v>0</v>
      </c>
      <c r="M2034" s="52">
        <v>0</v>
      </c>
      <c r="N2034" s="2">
        <f t="shared" si="2886"/>
        <v>3</v>
      </c>
      <c r="O2034" s="2">
        <f t="shared" si="2900"/>
        <v>3900</v>
      </c>
      <c r="P2034" s="13"/>
      <c r="Q2034" s="13"/>
      <c r="R2034" s="13"/>
      <c r="S2034" s="13"/>
      <c r="T2034" s="13"/>
      <c r="U2034" s="13"/>
      <c r="V2034" s="13"/>
      <c r="W2034" s="13"/>
      <c r="X2034" s="13"/>
      <c r="Y2034" s="13"/>
      <c r="Z2034" s="13"/>
      <c r="AA2034" s="13"/>
      <c r="AB2034" s="13"/>
      <c r="AC2034" s="13"/>
      <c r="AD2034" s="13"/>
      <c r="AE2034" s="13"/>
      <c r="AF2034" s="13"/>
      <c r="AG2034" s="13"/>
    </row>
    <row r="2035" spans="1:33" s="14" customFormat="1">
      <c r="A2035" s="10">
        <v>43192</v>
      </c>
      <c r="B2035" s="3" t="s">
        <v>282</v>
      </c>
      <c r="C2035" s="15" t="s">
        <v>47</v>
      </c>
      <c r="D2035" s="15">
        <v>460</v>
      </c>
      <c r="E2035" s="11">
        <v>750</v>
      </c>
      <c r="F2035" s="3" t="s">
        <v>8</v>
      </c>
      <c r="G2035" s="46">
        <v>14</v>
      </c>
      <c r="H2035" s="3">
        <v>16</v>
      </c>
      <c r="I2035" s="46">
        <v>0</v>
      </c>
      <c r="J2035" s="55">
        <v>0</v>
      </c>
      <c r="K2035" s="1">
        <f t="shared" ref="K2035" si="2924">(IF(F2035="SELL",G2035-H2035,IF(F2035="BUY",H2035-G2035)))*E2035</f>
        <v>1500</v>
      </c>
      <c r="L2035" s="51">
        <v>0</v>
      </c>
      <c r="M2035" s="52">
        <v>0</v>
      </c>
      <c r="N2035" s="2">
        <f t="shared" si="2886"/>
        <v>2</v>
      </c>
      <c r="O2035" s="2">
        <f t="shared" si="2900"/>
        <v>1500</v>
      </c>
      <c r="P2035" s="13"/>
      <c r="Q2035" s="13"/>
      <c r="R2035" s="13"/>
      <c r="S2035" s="13"/>
      <c r="T2035" s="13"/>
      <c r="U2035" s="13"/>
      <c r="V2035" s="13"/>
      <c r="W2035" s="13"/>
      <c r="X2035" s="13"/>
      <c r="Y2035" s="13"/>
      <c r="Z2035" s="13"/>
      <c r="AA2035" s="13"/>
      <c r="AB2035" s="13"/>
      <c r="AC2035" s="13"/>
      <c r="AD2035" s="13"/>
      <c r="AE2035" s="13"/>
      <c r="AF2035" s="13"/>
      <c r="AG2035" s="13"/>
    </row>
    <row r="2036" spans="1:33" s="14" customFormat="1">
      <c r="A2036" s="10">
        <v>43187</v>
      </c>
      <c r="B2036" s="3" t="s">
        <v>60</v>
      </c>
      <c r="C2036" s="15" t="s">
        <v>46</v>
      </c>
      <c r="D2036" s="15">
        <v>290</v>
      </c>
      <c r="E2036" s="11">
        <v>1750</v>
      </c>
      <c r="F2036" s="3" t="s">
        <v>8</v>
      </c>
      <c r="G2036" s="46">
        <v>7.1</v>
      </c>
      <c r="H2036" s="3">
        <v>8.6999999999999993</v>
      </c>
      <c r="I2036" s="46">
        <v>10</v>
      </c>
      <c r="J2036" s="55">
        <v>0</v>
      </c>
      <c r="K2036" s="1">
        <f t="shared" ref="K2036" si="2925">(IF(F2036="SELL",G2036-H2036,IF(F2036="BUY",H2036-G2036)))*E2036</f>
        <v>2799.9999999999995</v>
      </c>
      <c r="L2036" s="51">
        <f t="shared" ref="L2036" si="2926">(IF(F2036="SELL",IF(I2036="",0,H2036-I2036),IF(F2036="BUY",IF(I2036="",0,I2036-H2036))))*E2036</f>
        <v>2275.0000000000014</v>
      </c>
      <c r="M2036" s="52">
        <v>0</v>
      </c>
      <c r="N2036" s="2">
        <f t="shared" si="2886"/>
        <v>2.9000000000000004</v>
      </c>
      <c r="O2036" s="2">
        <f t="shared" si="2900"/>
        <v>5075.0000000000009</v>
      </c>
      <c r="P2036" s="13"/>
      <c r="Q2036" s="13"/>
      <c r="R2036" s="13"/>
      <c r="S2036" s="13"/>
      <c r="T2036" s="13"/>
      <c r="U2036" s="13"/>
      <c r="V2036" s="13"/>
      <c r="W2036" s="13"/>
      <c r="X2036" s="13"/>
      <c r="Y2036" s="13"/>
      <c r="Z2036" s="13"/>
      <c r="AA2036" s="13"/>
      <c r="AB2036" s="13"/>
      <c r="AC2036" s="13"/>
      <c r="AD2036" s="13"/>
      <c r="AE2036" s="13"/>
      <c r="AF2036" s="13"/>
      <c r="AG2036" s="13"/>
    </row>
    <row r="2037" spans="1:33" s="14" customFormat="1">
      <c r="A2037" s="10">
        <v>43186</v>
      </c>
      <c r="B2037" s="3" t="s">
        <v>281</v>
      </c>
      <c r="C2037" s="15" t="s">
        <v>47</v>
      </c>
      <c r="D2037" s="15">
        <v>300</v>
      </c>
      <c r="E2037" s="11">
        <v>2000</v>
      </c>
      <c r="F2037" s="3" t="s">
        <v>8</v>
      </c>
      <c r="G2037" s="46">
        <v>4.25</v>
      </c>
      <c r="H2037" s="3">
        <v>6</v>
      </c>
      <c r="I2037" s="46">
        <v>0</v>
      </c>
      <c r="J2037" s="55">
        <v>0</v>
      </c>
      <c r="K2037" s="1">
        <f t="shared" ref="K2037" si="2927">(IF(F2037="SELL",G2037-H2037,IF(F2037="BUY",H2037-G2037)))*E2037</f>
        <v>3500</v>
      </c>
      <c r="L2037" s="51">
        <v>0</v>
      </c>
      <c r="M2037" s="52">
        <v>0</v>
      </c>
      <c r="N2037" s="2">
        <f t="shared" si="2886"/>
        <v>1.75</v>
      </c>
      <c r="O2037" s="2">
        <f t="shared" si="2900"/>
        <v>3500</v>
      </c>
      <c r="P2037" s="13"/>
      <c r="Q2037" s="13"/>
      <c r="R2037" s="13"/>
      <c r="S2037" s="13"/>
      <c r="T2037" s="13"/>
      <c r="U2037" s="13"/>
      <c r="V2037" s="13"/>
      <c r="W2037" s="13"/>
      <c r="X2037" s="13"/>
      <c r="Y2037" s="13"/>
      <c r="Z2037" s="13"/>
      <c r="AA2037" s="13"/>
      <c r="AB2037" s="13"/>
      <c r="AC2037" s="13"/>
      <c r="AD2037" s="13"/>
      <c r="AE2037" s="13"/>
      <c r="AF2037" s="13"/>
      <c r="AG2037" s="13"/>
    </row>
    <row r="2038" spans="1:33" s="14" customFormat="1">
      <c r="A2038" s="10">
        <v>43185</v>
      </c>
      <c r="B2038" s="3" t="s">
        <v>280</v>
      </c>
      <c r="C2038" s="15" t="s">
        <v>47</v>
      </c>
      <c r="D2038" s="15">
        <v>1400</v>
      </c>
      <c r="E2038" s="11">
        <v>600</v>
      </c>
      <c r="F2038" s="3" t="s">
        <v>8</v>
      </c>
      <c r="G2038" s="46">
        <v>23</v>
      </c>
      <c r="H2038" s="3">
        <v>27</v>
      </c>
      <c r="I2038" s="46">
        <v>33.799999999999997</v>
      </c>
      <c r="J2038" s="55">
        <v>0</v>
      </c>
      <c r="K2038" s="1">
        <f t="shared" ref="K2038" si="2928">(IF(F2038="SELL",G2038-H2038,IF(F2038="BUY",H2038-G2038)))*E2038</f>
        <v>2400</v>
      </c>
      <c r="L2038" s="51">
        <f t="shared" ref="L2038" si="2929">(IF(F2038="SELL",IF(I2038="",0,H2038-I2038),IF(F2038="BUY",IF(I2038="",0,I2038-H2038))))*E2038</f>
        <v>4079.9999999999982</v>
      </c>
      <c r="M2038" s="52">
        <v>0</v>
      </c>
      <c r="N2038" s="2">
        <f t="shared" si="2886"/>
        <v>10.799999999999997</v>
      </c>
      <c r="O2038" s="2">
        <f t="shared" si="2900"/>
        <v>6479.9999999999982</v>
      </c>
      <c r="P2038" s="13"/>
      <c r="Q2038" s="13"/>
      <c r="R2038" s="13"/>
      <c r="S2038" s="13"/>
      <c r="T2038" s="13"/>
      <c r="U2038" s="13"/>
      <c r="V2038" s="13"/>
      <c r="W2038" s="13"/>
      <c r="X2038" s="13"/>
      <c r="Y2038" s="13"/>
      <c r="Z2038" s="13"/>
      <c r="AA2038" s="13"/>
      <c r="AB2038" s="13"/>
      <c r="AC2038" s="13"/>
      <c r="AD2038" s="13"/>
      <c r="AE2038" s="13"/>
      <c r="AF2038" s="13"/>
      <c r="AG2038" s="13"/>
    </row>
    <row r="2039" spans="1:33" s="14" customFormat="1">
      <c r="A2039" s="10">
        <v>43182</v>
      </c>
      <c r="B2039" s="3" t="s">
        <v>142</v>
      </c>
      <c r="C2039" s="15" t="s">
        <v>46</v>
      </c>
      <c r="D2039" s="15">
        <v>1260</v>
      </c>
      <c r="E2039" s="11">
        <v>750</v>
      </c>
      <c r="F2039" s="3" t="s">
        <v>8</v>
      </c>
      <c r="G2039" s="46">
        <v>10.1</v>
      </c>
      <c r="H2039" s="3">
        <v>10.1</v>
      </c>
      <c r="I2039" s="46">
        <v>0</v>
      </c>
      <c r="J2039" s="55">
        <v>0</v>
      </c>
      <c r="K2039" s="1">
        <f t="shared" ref="K2039" si="2930">(IF(F2039="SELL",G2039-H2039,IF(F2039="BUY",H2039-G2039)))*E2039</f>
        <v>0</v>
      </c>
      <c r="L2039" s="51">
        <v>0</v>
      </c>
      <c r="M2039" s="52">
        <v>0</v>
      </c>
      <c r="N2039" s="2">
        <f t="shared" si="2886"/>
        <v>0</v>
      </c>
      <c r="O2039" s="2">
        <f t="shared" si="2900"/>
        <v>0</v>
      </c>
      <c r="P2039" s="13"/>
      <c r="Q2039" s="13"/>
      <c r="R2039" s="13"/>
      <c r="S2039" s="13"/>
      <c r="T2039" s="13"/>
      <c r="U2039" s="13"/>
      <c r="V2039" s="13"/>
      <c r="W2039" s="13"/>
      <c r="X2039" s="13"/>
      <c r="Y2039" s="13"/>
      <c r="Z2039" s="13"/>
      <c r="AA2039" s="13"/>
      <c r="AB2039" s="13"/>
      <c r="AC2039" s="13"/>
      <c r="AD2039" s="13"/>
      <c r="AE2039" s="13"/>
      <c r="AF2039" s="13"/>
      <c r="AG2039" s="13"/>
    </row>
    <row r="2040" spans="1:33" s="14" customFormat="1">
      <c r="A2040" s="10">
        <v>43181</v>
      </c>
      <c r="B2040" s="3" t="s">
        <v>224</v>
      </c>
      <c r="C2040" s="15" t="s">
        <v>47</v>
      </c>
      <c r="D2040" s="15">
        <v>380</v>
      </c>
      <c r="E2040" s="11">
        <v>3000</v>
      </c>
      <c r="F2040" s="3" t="s">
        <v>8</v>
      </c>
      <c r="G2040" s="46">
        <v>4.8</v>
      </c>
      <c r="H2040" s="3">
        <v>6</v>
      </c>
      <c r="I2040" s="46">
        <v>0</v>
      </c>
      <c r="J2040" s="55">
        <v>0</v>
      </c>
      <c r="K2040" s="1">
        <f t="shared" ref="K2040:K2041" si="2931">(IF(F2040="SELL",G2040-H2040,IF(F2040="BUY",H2040-G2040)))*E2040</f>
        <v>3600.0000000000005</v>
      </c>
      <c r="L2040" s="51">
        <v>0</v>
      </c>
      <c r="M2040" s="52">
        <v>0</v>
      </c>
      <c r="N2040" s="2">
        <f t="shared" si="2886"/>
        <v>1.2000000000000002</v>
      </c>
      <c r="O2040" s="2">
        <f t="shared" si="2900"/>
        <v>3600.0000000000005</v>
      </c>
      <c r="P2040" s="13"/>
      <c r="Q2040" s="13"/>
      <c r="R2040" s="13"/>
      <c r="S2040" s="13"/>
      <c r="T2040" s="13"/>
      <c r="U2040" s="13"/>
      <c r="V2040" s="13"/>
      <c r="W2040" s="13"/>
      <c r="X2040" s="13"/>
      <c r="Y2040" s="13"/>
      <c r="Z2040" s="13"/>
      <c r="AA2040" s="13"/>
      <c r="AB2040" s="13"/>
      <c r="AC2040" s="13"/>
      <c r="AD2040" s="13"/>
      <c r="AE2040" s="13"/>
      <c r="AF2040" s="13"/>
      <c r="AG2040" s="13"/>
    </row>
    <row r="2041" spans="1:33" s="14" customFormat="1">
      <c r="A2041" s="10">
        <v>43180</v>
      </c>
      <c r="B2041" s="3" t="s">
        <v>139</v>
      </c>
      <c r="C2041" s="15" t="s">
        <v>47</v>
      </c>
      <c r="D2041" s="15">
        <v>2200</v>
      </c>
      <c r="E2041" s="11">
        <v>500</v>
      </c>
      <c r="F2041" s="3" t="s">
        <v>8</v>
      </c>
      <c r="G2041" s="46">
        <v>31</v>
      </c>
      <c r="H2041" s="3">
        <v>38</v>
      </c>
      <c r="I2041" s="46">
        <v>46</v>
      </c>
      <c r="J2041" s="55">
        <v>0</v>
      </c>
      <c r="K2041" s="1">
        <f t="shared" si="2931"/>
        <v>3500</v>
      </c>
      <c r="L2041" s="51">
        <f t="shared" ref="L2041" si="2932">(IF(F2041="SELL",IF(I2041="",0,H2041-I2041),IF(F2041="BUY",IF(I2041="",0,I2041-H2041))))*E2041</f>
        <v>4000</v>
      </c>
      <c r="M2041" s="52">
        <v>0</v>
      </c>
      <c r="N2041" s="2">
        <f t="shared" si="2886"/>
        <v>15</v>
      </c>
      <c r="O2041" s="2">
        <f t="shared" si="2900"/>
        <v>7500</v>
      </c>
      <c r="P2041" s="13"/>
      <c r="Q2041" s="13"/>
      <c r="R2041" s="13"/>
      <c r="S2041" s="13"/>
      <c r="T2041" s="13"/>
      <c r="U2041" s="13"/>
      <c r="V2041" s="13"/>
      <c r="W2041" s="13"/>
      <c r="X2041" s="13"/>
      <c r="Y2041" s="13"/>
      <c r="Z2041" s="13"/>
      <c r="AA2041" s="13"/>
      <c r="AB2041" s="13"/>
      <c r="AC2041" s="13"/>
      <c r="AD2041" s="13"/>
      <c r="AE2041" s="13"/>
      <c r="AF2041" s="13"/>
      <c r="AG2041" s="13"/>
    </row>
    <row r="2042" spans="1:33" s="14" customFormat="1">
      <c r="A2042" s="10">
        <v>43180</v>
      </c>
      <c r="B2042" s="3" t="s">
        <v>279</v>
      </c>
      <c r="C2042" s="15" t="s">
        <v>47</v>
      </c>
      <c r="D2042" s="15">
        <v>215</v>
      </c>
      <c r="E2042" s="11">
        <v>4000</v>
      </c>
      <c r="F2042" s="3" t="s">
        <v>8</v>
      </c>
      <c r="G2042" s="46">
        <v>3.5</v>
      </c>
      <c r="H2042" s="3">
        <v>4.3</v>
      </c>
      <c r="I2042" s="46">
        <v>4.95</v>
      </c>
      <c r="J2042" s="55">
        <v>0</v>
      </c>
      <c r="K2042" s="1">
        <f t="shared" ref="K2042:K2043" si="2933">(IF(F2042="SELL",G2042-H2042,IF(F2042="BUY",H2042-G2042)))*E2042</f>
        <v>3199.9999999999991</v>
      </c>
      <c r="L2042" s="51">
        <f t="shared" ref="L2042" si="2934">(IF(F2042="SELL",IF(I2042="",0,H2042-I2042),IF(F2042="BUY",IF(I2042="",0,I2042-H2042))))*E2042</f>
        <v>2600.0000000000014</v>
      </c>
      <c r="M2042" s="52">
        <v>0</v>
      </c>
      <c r="N2042" s="2">
        <f t="shared" si="2886"/>
        <v>1.45</v>
      </c>
      <c r="O2042" s="2">
        <f t="shared" si="2900"/>
        <v>5800</v>
      </c>
      <c r="P2042" s="13"/>
      <c r="Q2042" s="13"/>
      <c r="R2042" s="13"/>
      <c r="S2042" s="13"/>
      <c r="T2042" s="13"/>
      <c r="U2042" s="13"/>
      <c r="V2042" s="13"/>
      <c r="W2042" s="13"/>
      <c r="X2042" s="13"/>
      <c r="Y2042" s="13"/>
      <c r="Z2042" s="13"/>
      <c r="AA2042" s="13"/>
      <c r="AB2042" s="13"/>
      <c r="AC2042" s="13"/>
      <c r="AD2042" s="13"/>
      <c r="AE2042" s="13"/>
      <c r="AF2042" s="13"/>
      <c r="AG2042" s="13"/>
    </row>
    <row r="2043" spans="1:33" s="14" customFormat="1">
      <c r="A2043" s="10">
        <v>43179</v>
      </c>
      <c r="B2043" s="3" t="s">
        <v>277</v>
      </c>
      <c r="C2043" s="15" t="s">
        <v>47</v>
      </c>
      <c r="D2043" s="15">
        <v>160</v>
      </c>
      <c r="E2043" s="11">
        <v>4500</v>
      </c>
      <c r="F2043" s="3" t="s">
        <v>8</v>
      </c>
      <c r="G2043" s="46">
        <v>2.25</v>
      </c>
      <c r="H2043" s="3">
        <v>3</v>
      </c>
      <c r="I2043" s="46">
        <v>0</v>
      </c>
      <c r="J2043" s="55">
        <v>0</v>
      </c>
      <c r="K2043" s="1">
        <f t="shared" si="2933"/>
        <v>3375</v>
      </c>
      <c r="L2043" s="51">
        <v>0</v>
      </c>
      <c r="M2043" s="52">
        <v>0</v>
      </c>
      <c r="N2043" s="2">
        <f t="shared" si="2886"/>
        <v>0.75</v>
      </c>
      <c r="O2043" s="2">
        <f t="shared" si="2900"/>
        <v>3375</v>
      </c>
      <c r="P2043" s="13"/>
      <c r="Q2043" s="13"/>
      <c r="R2043" s="13"/>
      <c r="S2043" s="13"/>
      <c r="T2043" s="13"/>
      <c r="U2043" s="13"/>
      <c r="V2043" s="13"/>
      <c r="W2043" s="13"/>
      <c r="X2043" s="13"/>
      <c r="Y2043" s="13"/>
      <c r="Z2043" s="13"/>
      <c r="AA2043" s="13"/>
      <c r="AB2043" s="13"/>
      <c r="AC2043" s="13"/>
      <c r="AD2043" s="13"/>
      <c r="AE2043" s="13"/>
      <c r="AF2043" s="13"/>
      <c r="AG2043" s="13"/>
    </row>
    <row r="2044" spans="1:33" s="14" customFormat="1">
      <c r="A2044" s="10">
        <v>43178</v>
      </c>
      <c r="B2044" s="3" t="s">
        <v>270</v>
      </c>
      <c r="C2044" s="15" t="s">
        <v>46</v>
      </c>
      <c r="D2044" s="15">
        <v>220</v>
      </c>
      <c r="E2044" s="11">
        <v>4500</v>
      </c>
      <c r="F2044" s="3" t="s">
        <v>8</v>
      </c>
      <c r="G2044" s="46">
        <v>6.5</v>
      </c>
      <c r="H2044" s="3">
        <v>7</v>
      </c>
      <c r="I2044" s="46">
        <v>0</v>
      </c>
      <c r="J2044" s="55">
        <v>0</v>
      </c>
      <c r="K2044" s="1">
        <f t="shared" ref="K2044" si="2935">(IF(F2044="SELL",G2044-H2044,IF(F2044="BUY",H2044-G2044)))*E2044</f>
        <v>2250</v>
      </c>
      <c r="L2044" s="51">
        <v>0</v>
      </c>
      <c r="M2044" s="52">
        <v>0</v>
      </c>
      <c r="N2044" s="2">
        <f t="shared" si="2886"/>
        <v>0.5</v>
      </c>
      <c r="O2044" s="2">
        <f t="shared" si="2900"/>
        <v>2250</v>
      </c>
      <c r="P2044" s="13"/>
      <c r="Q2044" s="13"/>
      <c r="R2044" s="13"/>
      <c r="S2044" s="13"/>
      <c r="T2044" s="13"/>
      <c r="U2044" s="13"/>
      <c r="V2044" s="13"/>
      <c r="W2044" s="13"/>
      <c r="X2044" s="13"/>
      <c r="Y2044" s="13"/>
      <c r="Z2044" s="13"/>
      <c r="AA2044" s="13"/>
      <c r="AB2044" s="13"/>
      <c r="AC2044" s="13"/>
      <c r="AD2044" s="13"/>
      <c r="AE2044" s="13"/>
      <c r="AF2044" s="13"/>
      <c r="AG2044" s="13"/>
    </row>
    <row r="2045" spans="1:33" s="14" customFormat="1">
      <c r="A2045" s="10">
        <v>43175</v>
      </c>
      <c r="B2045" s="3" t="s">
        <v>279</v>
      </c>
      <c r="C2045" s="15" t="s">
        <v>47</v>
      </c>
      <c r="D2045" s="15">
        <v>280</v>
      </c>
      <c r="E2045" s="11">
        <v>1600</v>
      </c>
      <c r="F2045" s="3" t="s">
        <v>8</v>
      </c>
      <c r="G2045" s="46">
        <v>5.7</v>
      </c>
      <c r="H2045" s="3">
        <v>7.7</v>
      </c>
      <c r="I2045" s="46">
        <v>0</v>
      </c>
      <c r="J2045" s="55">
        <v>0</v>
      </c>
      <c r="K2045" s="1">
        <f t="shared" ref="K2045" si="2936">(IF(F2045="SELL",G2045-H2045,IF(F2045="BUY",H2045-G2045)))*E2045</f>
        <v>3200</v>
      </c>
      <c r="L2045" s="51">
        <v>0</v>
      </c>
      <c r="M2045" s="52">
        <v>0</v>
      </c>
      <c r="N2045" s="2">
        <f t="shared" si="2886"/>
        <v>2</v>
      </c>
      <c r="O2045" s="2">
        <f t="shared" si="2900"/>
        <v>3200</v>
      </c>
      <c r="P2045" s="13"/>
      <c r="Q2045" s="13"/>
      <c r="R2045" s="13"/>
      <c r="S2045" s="13"/>
      <c r="T2045" s="13"/>
      <c r="U2045" s="13"/>
      <c r="V2045" s="13"/>
      <c r="W2045" s="13"/>
      <c r="X2045" s="13"/>
      <c r="Y2045" s="13"/>
      <c r="Z2045" s="13"/>
      <c r="AA2045" s="13"/>
      <c r="AB2045" s="13"/>
      <c r="AC2045" s="13"/>
      <c r="AD2045" s="13"/>
      <c r="AE2045" s="13"/>
      <c r="AF2045" s="13"/>
      <c r="AG2045" s="13"/>
    </row>
    <row r="2046" spans="1:33" s="14" customFormat="1">
      <c r="A2046" s="10">
        <v>43174</v>
      </c>
      <c r="B2046" s="3" t="s">
        <v>139</v>
      </c>
      <c r="C2046" s="15" t="s">
        <v>47</v>
      </c>
      <c r="D2046" s="15">
        <v>2150</v>
      </c>
      <c r="E2046" s="11">
        <v>500</v>
      </c>
      <c r="F2046" s="3" t="s">
        <v>8</v>
      </c>
      <c r="G2046" s="46">
        <v>55</v>
      </c>
      <c r="H2046" s="3">
        <v>60</v>
      </c>
      <c r="I2046" s="46">
        <v>65</v>
      </c>
      <c r="J2046" s="55">
        <v>0</v>
      </c>
      <c r="K2046" s="1">
        <f t="shared" ref="K2046" si="2937">(IF(F2046="SELL",G2046-H2046,IF(F2046="BUY",H2046-G2046)))*E2046</f>
        <v>2500</v>
      </c>
      <c r="L2046" s="51">
        <f t="shared" ref="L2046" si="2938">(IF(F2046="SELL",IF(I2046="",0,H2046-I2046),IF(F2046="BUY",IF(I2046="",0,I2046-H2046))))*E2046</f>
        <v>2500</v>
      </c>
      <c r="M2046" s="52">
        <v>0</v>
      </c>
      <c r="N2046" s="2">
        <f t="shared" si="2886"/>
        <v>10</v>
      </c>
      <c r="O2046" s="2">
        <f t="shared" si="2900"/>
        <v>5000</v>
      </c>
      <c r="P2046" s="13"/>
      <c r="Q2046" s="13"/>
      <c r="R2046" s="13"/>
      <c r="S2046" s="13"/>
      <c r="T2046" s="13"/>
      <c r="U2046" s="13"/>
      <c r="V2046" s="13"/>
      <c r="W2046" s="13"/>
      <c r="X2046" s="13"/>
      <c r="Y2046" s="13"/>
      <c r="Z2046" s="13"/>
      <c r="AA2046" s="13"/>
      <c r="AB2046" s="13"/>
      <c r="AC2046" s="13"/>
      <c r="AD2046" s="13"/>
      <c r="AE2046" s="13"/>
      <c r="AF2046" s="13"/>
      <c r="AG2046" s="13"/>
    </row>
    <row r="2047" spans="1:33" s="14" customFormat="1">
      <c r="A2047" s="10">
        <v>43174</v>
      </c>
      <c r="B2047" s="3" t="s">
        <v>156</v>
      </c>
      <c r="C2047" s="15" t="s">
        <v>47</v>
      </c>
      <c r="D2047" s="15">
        <v>530</v>
      </c>
      <c r="E2047" s="11">
        <v>2000</v>
      </c>
      <c r="F2047" s="3" t="s">
        <v>8</v>
      </c>
      <c r="G2047" s="46">
        <v>10</v>
      </c>
      <c r="H2047" s="3">
        <v>12</v>
      </c>
      <c r="I2047" s="46">
        <v>0</v>
      </c>
      <c r="J2047" s="55">
        <v>0</v>
      </c>
      <c r="K2047" s="1">
        <f t="shared" ref="K2047" si="2939">(IF(F2047="SELL",G2047-H2047,IF(F2047="BUY",H2047-G2047)))*E2047</f>
        <v>4000</v>
      </c>
      <c r="L2047" s="51">
        <v>0</v>
      </c>
      <c r="M2047" s="52">
        <v>0</v>
      </c>
      <c r="N2047" s="2">
        <f t="shared" si="2886"/>
        <v>2</v>
      </c>
      <c r="O2047" s="2">
        <f t="shared" si="2900"/>
        <v>4000</v>
      </c>
      <c r="P2047" s="13"/>
      <c r="Q2047" s="13"/>
      <c r="R2047" s="13"/>
      <c r="S2047" s="13"/>
      <c r="T2047" s="13"/>
      <c r="U2047" s="13"/>
      <c r="V2047" s="13"/>
      <c r="W2047" s="13"/>
      <c r="X2047" s="13"/>
      <c r="Y2047" s="13"/>
      <c r="Z2047" s="13"/>
      <c r="AA2047" s="13"/>
      <c r="AB2047" s="13"/>
      <c r="AC2047" s="13"/>
      <c r="AD2047" s="13"/>
      <c r="AE2047" s="13"/>
      <c r="AF2047" s="13"/>
      <c r="AG2047" s="13"/>
    </row>
    <row r="2048" spans="1:33" s="14" customFormat="1">
      <c r="A2048" s="10">
        <v>43174</v>
      </c>
      <c r="B2048" s="3" t="s">
        <v>234</v>
      </c>
      <c r="C2048" s="15" t="s">
        <v>47</v>
      </c>
      <c r="D2048" s="15">
        <v>280</v>
      </c>
      <c r="E2048" s="11">
        <v>4500</v>
      </c>
      <c r="F2048" s="3" t="s">
        <v>8</v>
      </c>
      <c r="G2048" s="46">
        <v>8.6999999999999993</v>
      </c>
      <c r="H2048" s="3">
        <v>9.5</v>
      </c>
      <c r="I2048" s="46">
        <v>0</v>
      </c>
      <c r="J2048" s="55">
        <v>0</v>
      </c>
      <c r="K2048" s="1">
        <f t="shared" ref="K2048" si="2940">(IF(F2048="SELL",G2048-H2048,IF(F2048="BUY",H2048-G2048)))*E2048</f>
        <v>3600.0000000000032</v>
      </c>
      <c r="L2048" s="51">
        <v>0</v>
      </c>
      <c r="M2048" s="52">
        <v>0</v>
      </c>
      <c r="N2048" s="2">
        <f t="shared" si="2886"/>
        <v>0.80000000000000071</v>
      </c>
      <c r="O2048" s="2">
        <f t="shared" si="2900"/>
        <v>3600.0000000000032</v>
      </c>
      <c r="P2048" s="13"/>
      <c r="Q2048" s="13"/>
      <c r="R2048" s="13"/>
      <c r="S2048" s="13"/>
      <c r="T2048" s="13"/>
      <c r="U2048" s="13"/>
      <c r="V2048" s="13"/>
      <c r="W2048" s="13"/>
      <c r="X2048" s="13"/>
      <c r="Y2048" s="13"/>
      <c r="Z2048" s="13"/>
      <c r="AA2048" s="13"/>
      <c r="AB2048" s="13"/>
      <c r="AC2048" s="13"/>
      <c r="AD2048" s="13"/>
      <c r="AE2048" s="13"/>
      <c r="AF2048" s="13"/>
      <c r="AG2048" s="13"/>
    </row>
    <row r="2049" spans="1:33" s="14" customFormat="1">
      <c r="A2049" s="10">
        <v>43173</v>
      </c>
      <c r="B2049" s="3" t="s">
        <v>259</v>
      </c>
      <c r="C2049" s="15" t="s">
        <v>47</v>
      </c>
      <c r="D2049" s="15">
        <v>360</v>
      </c>
      <c r="E2049" s="11">
        <v>1500</v>
      </c>
      <c r="F2049" s="3" t="s">
        <v>8</v>
      </c>
      <c r="G2049" s="46">
        <v>18</v>
      </c>
      <c r="H2049" s="3">
        <v>20</v>
      </c>
      <c r="I2049" s="46">
        <v>23</v>
      </c>
      <c r="J2049" s="55">
        <v>0</v>
      </c>
      <c r="K2049" s="1">
        <f t="shared" ref="K2049" si="2941">(IF(F2049="SELL",G2049-H2049,IF(F2049="BUY",H2049-G2049)))*E2049</f>
        <v>3000</v>
      </c>
      <c r="L2049" s="51">
        <f t="shared" ref="L2049" si="2942">(IF(F2049="SELL",IF(I2049="",0,H2049-I2049),IF(F2049="BUY",IF(I2049="",0,I2049-H2049))))*E2049</f>
        <v>4500</v>
      </c>
      <c r="M2049" s="52">
        <v>0</v>
      </c>
      <c r="N2049" s="2">
        <f t="shared" si="2886"/>
        <v>5</v>
      </c>
      <c r="O2049" s="2">
        <f t="shared" si="2900"/>
        <v>7500</v>
      </c>
      <c r="P2049" s="13"/>
      <c r="Q2049" s="13"/>
      <c r="R2049" s="13"/>
      <c r="S2049" s="13"/>
      <c r="T2049" s="13"/>
      <c r="U2049" s="13"/>
      <c r="V2049" s="13"/>
      <c r="W2049" s="13"/>
      <c r="X2049" s="13"/>
      <c r="Y2049" s="13"/>
      <c r="Z2049" s="13"/>
      <c r="AA2049" s="13"/>
      <c r="AB2049" s="13"/>
      <c r="AC2049" s="13"/>
      <c r="AD2049" s="13"/>
      <c r="AE2049" s="13"/>
      <c r="AF2049" s="13"/>
      <c r="AG2049" s="13"/>
    </row>
    <row r="2050" spans="1:33" s="14" customFormat="1">
      <c r="A2050" s="10">
        <v>43173</v>
      </c>
      <c r="B2050" s="3" t="s">
        <v>157</v>
      </c>
      <c r="C2050" s="15" t="s">
        <v>47</v>
      </c>
      <c r="D2050" s="15">
        <v>880</v>
      </c>
      <c r="E2050" s="11">
        <v>1500</v>
      </c>
      <c r="F2050" s="3" t="s">
        <v>8</v>
      </c>
      <c r="G2050" s="46">
        <v>11.5</v>
      </c>
      <c r="H2050" s="3">
        <v>13</v>
      </c>
      <c r="I2050" s="46">
        <v>0</v>
      </c>
      <c r="J2050" s="55">
        <v>0</v>
      </c>
      <c r="K2050" s="1">
        <f t="shared" ref="K2050" si="2943">(IF(F2050="SELL",G2050-H2050,IF(F2050="BUY",H2050-G2050)))*E2050</f>
        <v>2250</v>
      </c>
      <c r="L2050" s="51">
        <v>0</v>
      </c>
      <c r="M2050" s="52">
        <v>0</v>
      </c>
      <c r="N2050" s="2">
        <f t="shared" si="2886"/>
        <v>1.5</v>
      </c>
      <c r="O2050" s="2">
        <f t="shared" si="2900"/>
        <v>2250</v>
      </c>
      <c r="P2050" s="13"/>
      <c r="Q2050" s="13"/>
      <c r="R2050" s="13"/>
      <c r="S2050" s="13"/>
      <c r="T2050" s="13"/>
      <c r="U2050" s="13"/>
      <c r="V2050" s="13"/>
      <c r="W2050" s="13"/>
      <c r="X2050" s="13"/>
      <c r="Y2050" s="13"/>
      <c r="Z2050" s="13"/>
      <c r="AA2050" s="13"/>
      <c r="AB2050" s="13"/>
      <c r="AC2050" s="13"/>
      <c r="AD2050" s="13"/>
      <c r="AE2050" s="13"/>
      <c r="AF2050" s="13"/>
      <c r="AG2050" s="13"/>
    </row>
    <row r="2051" spans="1:33" s="14" customFormat="1">
      <c r="A2051" s="10">
        <v>43172</v>
      </c>
      <c r="B2051" s="3" t="s">
        <v>148</v>
      </c>
      <c r="C2051" s="15" t="s">
        <v>47</v>
      </c>
      <c r="D2051" s="15">
        <v>520</v>
      </c>
      <c r="E2051" s="11">
        <v>1200</v>
      </c>
      <c r="F2051" s="3" t="s">
        <v>8</v>
      </c>
      <c r="G2051" s="46">
        <v>15</v>
      </c>
      <c r="H2051" s="3">
        <v>17</v>
      </c>
      <c r="I2051" s="46">
        <v>20</v>
      </c>
      <c r="J2051" s="55">
        <v>0</v>
      </c>
      <c r="K2051" s="1">
        <f t="shared" ref="K2051" si="2944">(IF(F2051="SELL",G2051-H2051,IF(F2051="BUY",H2051-G2051)))*E2051</f>
        <v>2400</v>
      </c>
      <c r="L2051" s="51">
        <f t="shared" ref="L2051:L2053" si="2945">(IF(F2051="SELL",IF(I2051="",0,H2051-I2051),IF(F2051="BUY",IF(I2051="",0,I2051-H2051))))*E2051</f>
        <v>3600</v>
      </c>
      <c r="M2051" s="52">
        <v>0</v>
      </c>
      <c r="N2051" s="2">
        <f t="shared" si="2886"/>
        <v>5</v>
      </c>
      <c r="O2051" s="2">
        <f t="shared" si="2900"/>
        <v>6000</v>
      </c>
      <c r="P2051" s="13"/>
      <c r="Q2051" s="13"/>
      <c r="R2051" s="13"/>
      <c r="S2051" s="13"/>
      <c r="T2051" s="13"/>
      <c r="U2051" s="13"/>
      <c r="V2051" s="13"/>
      <c r="W2051" s="13"/>
      <c r="X2051" s="13"/>
      <c r="Y2051" s="13"/>
      <c r="Z2051" s="13"/>
      <c r="AA2051" s="13"/>
      <c r="AB2051" s="13"/>
      <c r="AC2051" s="13"/>
      <c r="AD2051" s="13"/>
      <c r="AE2051" s="13"/>
      <c r="AF2051" s="13"/>
      <c r="AG2051" s="13"/>
    </row>
    <row r="2052" spans="1:33" s="14" customFormat="1">
      <c r="A2052" s="10">
        <v>43172</v>
      </c>
      <c r="B2052" s="3" t="s">
        <v>278</v>
      </c>
      <c r="C2052" s="15" t="s">
        <v>47</v>
      </c>
      <c r="D2052" s="15">
        <v>310</v>
      </c>
      <c r="E2052" s="11">
        <v>2750</v>
      </c>
      <c r="F2052" s="3" t="s">
        <v>8</v>
      </c>
      <c r="G2052" s="46">
        <v>4</v>
      </c>
      <c r="H2052" s="3">
        <v>5</v>
      </c>
      <c r="I2052" s="46">
        <v>0</v>
      </c>
      <c r="J2052" s="55">
        <v>0</v>
      </c>
      <c r="K2052" s="1">
        <f t="shared" ref="K2052" si="2946">(IF(F2052="SELL",G2052-H2052,IF(F2052="BUY",H2052-G2052)))*E2052</f>
        <v>2750</v>
      </c>
      <c r="L2052" s="51">
        <v>0</v>
      </c>
      <c r="M2052" s="52">
        <v>0</v>
      </c>
      <c r="N2052" s="2">
        <f t="shared" si="2886"/>
        <v>1</v>
      </c>
      <c r="O2052" s="2">
        <f t="shared" si="2900"/>
        <v>2750</v>
      </c>
      <c r="P2052" s="13"/>
      <c r="Q2052" s="13"/>
      <c r="R2052" s="13"/>
      <c r="S2052" s="13"/>
      <c r="T2052" s="13"/>
      <c r="U2052" s="13"/>
      <c r="V2052" s="13"/>
      <c r="W2052" s="13"/>
      <c r="X2052" s="13"/>
      <c r="Y2052" s="13"/>
      <c r="Z2052" s="13"/>
      <c r="AA2052" s="13"/>
      <c r="AB2052" s="13"/>
      <c r="AC2052" s="13"/>
      <c r="AD2052" s="13"/>
      <c r="AE2052" s="13"/>
      <c r="AF2052" s="13"/>
      <c r="AG2052" s="13"/>
    </row>
    <row r="2053" spans="1:33" s="14" customFormat="1">
      <c r="A2053" s="10">
        <v>43171</v>
      </c>
      <c r="B2053" s="3" t="s">
        <v>211</v>
      </c>
      <c r="C2053" s="15" t="s">
        <v>47</v>
      </c>
      <c r="D2053" s="15">
        <v>900</v>
      </c>
      <c r="E2053" s="11">
        <v>1500</v>
      </c>
      <c r="F2053" s="3" t="s">
        <v>8</v>
      </c>
      <c r="G2053" s="46">
        <v>30</v>
      </c>
      <c r="H2053" s="3">
        <v>32</v>
      </c>
      <c r="I2053" s="46">
        <v>35</v>
      </c>
      <c r="J2053" s="55">
        <v>0</v>
      </c>
      <c r="K2053" s="1">
        <f t="shared" ref="K2053" si="2947">(IF(F2053="SELL",G2053-H2053,IF(F2053="BUY",H2053-G2053)))*E2053</f>
        <v>3000</v>
      </c>
      <c r="L2053" s="51">
        <f t="shared" si="2945"/>
        <v>4500</v>
      </c>
      <c r="M2053" s="52">
        <v>0</v>
      </c>
      <c r="N2053" s="2">
        <f t="shared" si="2886"/>
        <v>5</v>
      </c>
      <c r="O2053" s="2">
        <f t="shared" si="2900"/>
        <v>7500</v>
      </c>
      <c r="P2053" s="13"/>
      <c r="Q2053" s="13"/>
      <c r="R2053" s="13"/>
      <c r="S2053" s="13"/>
      <c r="T2053" s="13"/>
      <c r="U2053" s="13"/>
      <c r="V2053" s="13"/>
      <c r="W2053" s="13"/>
      <c r="X2053" s="13"/>
      <c r="Y2053" s="13"/>
      <c r="Z2053" s="13"/>
      <c r="AA2053" s="13"/>
      <c r="AB2053" s="13"/>
      <c r="AC2053" s="13"/>
      <c r="AD2053" s="13"/>
      <c r="AE2053" s="13"/>
      <c r="AF2053" s="13"/>
      <c r="AG2053" s="13"/>
    </row>
    <row r="2054" spans="1:33" s="14" customFormat="1">
      <c r="A2054" s="10">
        <v>43168</v>
      </c>
      <c r="B2054" s="3" t="s">
        <v>275</v>
      </c>
      <c r="C2054" s="15" t="s">
        <v>47</v>
      </c>
      <c r="D2054" s="15">
        <v>1180</v>
      </c>
      <c r="E2054" s="11">
        <v>600</v>
      </c>
      <c r="F2054" s="3" t="s">
        <v>8</v>
      </c>
      <c r="G2054" s="46">
        <v>16</v>
      </c>
      <c r="H2054" s="3">
        <v>0</v>
      </c>
      <c r="I2054" s="46">
        <v>0</v>
      </c>
      <c r="J2054" s="55">
        <v>0</v>
      </c>
      <c r="K2054" s="1">
        <v>0</v>
      </c>
      <c r="L2054" s="51">
        <v>0</v>
      </c>
      <c r="M2054" s="52">
        <v>0</v>
      </c>
      <c r="N2054" s="2">
        <f t="shared" si="2886"/>
        <v>0</v>
      </c>
      <c r="O2054" s="2">
        <f t="shared" si="2900"/>
        <v>0</v>
      </c>
      <c r="P2054" s="13"/>
      <c r="Q2054" s="13"/>
      <c r="R2054" s="13"/>
      <c r="S2054" s="13"/>
      <c r="T2054" s="13"/>
      <c r="U2054" s="13"/>
      <c r="V2054" s="13"/>
      <c r="W2054" s="13"/>
      <c r="X2054" s="13"/>
      <c r="Y2054" s="13"/>
      <c r="Z2054" s="13"/>
      <c r="AA2054" s="13"/>
      <c r="AB2054" s="13"/>
      <c r="AC2054" s="13"/>
      <c r="AD2054" s="13"/>
      <c r="AE2054" s="13"/>
      <c r="AF2054" s="13"/>
      <c r="AG2054" s="13"/>
    </row>
    <row r="2055" spans="1:33" s="14" customFormat="1">
      <c r="A2055" s="10">
        <v>43166</v>
      </c>
      <c r="B2055" s="3" t="s">
        <v>260</v>
      </c>
      <c r="C2055" s="15" t="s">
        <v>46</v>
      </c>
      <c r="D2055" s="15">
        <v>120</v>
      </c>
      <c r="E2055" s="11">
        <v>4500</v>
      </c>
      <c r="F2055" s="3" t="s">
        <v>8</v>
      </c>
      <c r="G2055" s="46">
        <v>4.05</v>
      </c>
      <c r="H2055" s="3">
        <v>4.7</v>
      </c>
      <c r="I2055" s="46">
        <v>0</v>
      </c>
      <c r="J2055" s="55">
        <v>0</v>
      </c>
      <c r="K2055" s="1">
        <f t="shared" ref="K2055" si="2948">(IF(F2055="SELL",G2055-H2055,IF(F2055="BUY",H2055-G2055)))*E2055</f>
        <v>2925.0000000000018</v>
      </c>
      <c r="L2055" s="51">
        <v>0</v>
      </c>
      <c r="M2055" s="52">
        <v>0</v>
      </c>
      <c r="N2055" s="2">
        <f t="shared" si="2886"/>
        <v>0.65000000000000036</v>
      </c>
      <c r="O2055" s="2">
        <f t="shared" si="2900"/>
        <v>2925.0000000000018</v>
      </c>
      <c r="P2055" s="13"/>
      <c r="Q2055" s="13"/>
      <c r="R2055" s="13"/>
      <c r="S2055" s="13"/>
      <c r="T2055" s="13"/>
      <c r="U2055" s="13"/>
      <c r="V2055" s="13"/>
      <c r="W2055" s="13"/>
      <c r="X2055" s="13"/>
      <c r="Y2055" s="13"/>
      <c r="Z2055" s="13"/>
      <c r="AA2055" s="13"/>
      <c r="AB2055" s="13"/>
      <c r="AC2055" s="13"/>
      <c r="AD2055" s="13"/>
      <c r="AE2055" s="13"/>
      <c r="AF2055" s="13"/>
      <c r="AG2055" s="13"/>
    </row>
    <row r="2056" spans="1:33" s="14" customFormat="1">
      <c r="A2056" s="10">
        <v>43166</v>
      </c>
      <c r="B2056" s="3" t="s">
        <v>141</v>
      </c>
      <c r="C2056" s="15" t="s">
        <v>46</v>
      </c>
      <c r="D2056" s="15">
        <v>290</v>
      </c>
      <c r="E2056" s="11">
        <v>3000</v>
      </c>
      <c r="F2056" s="3" t="s">
        <v>8</v>
      </c>
      <c r="G2056" s="46">
        <v>11</v>
      </c>
      <c r="H2056" s="3">
        <v>9</v>
      </c>
      <c r="I2056" s="46">
        <v>0</v>
      </c>
      <c r="J2056" s="55">
        <v>0</v>
      </c>
      <c r="K2056" s="1">
        <f t="shared" ref="K2056" si="2949">(IF(F2056="SELL",G2056-H2056,IF(F2056="BUY",H2056-G2056)))*E2056</f>
        <v>-6000</v>
      </c>
      <c r="L2056" s="51">
        <v>0</v>
      </c>
      <c r="M2056" s="52">
        <v>0</v>
      </c>
      <c r="N2056" s="2">
        <f t="shared" si="2886"/>
        <v>-2</v>
      </c>
      <c r="O2056" s="2">
        <f t="shared" si="2900"/>
        <v>-6000</v>
      </c>
      <c r="P2056" s="13"/>
      <c r="Q2056" s="13"/>
      <c r="R2056" s="13"/>
      <c r="S2056" s="13"/>
      <c r="T2056" s="13"/>
      <c r="U2056" s="13"/>
      <c r="V2056" s="13"/>
      <c r="W2056" s="13"/>
      <c r="X2056" s="13"/>
      <c r="Y2056" s="13"/>
      <c r="Z2056" s="13"/>
      <c r="AA2056" s="13"/>
      <c r="AB2056" s="13"/>
      <c r="AC2056" s="13"/>
      <c r="AD2056" s="13"/>
      <c r="AE2056" s="13"/>
      <c r="AF2056" s="13"/>
      <c r="AG2056" s="13"/>
    </row>
    <row r="2057" spans="1:33" s="14" customFormat="1">
      <c r="A2057" s="10">
        <v>43165</v>
      </c>
      <c r="B2057" s="3" t="s">
        <v>219</v>
      </c>
      <c r="C2057" s="15" t="s">
        <v>47</v>
      </c>
      <c r="D2057" s="15">
        <v>560</v>
      </c>
      <c r="E2057" s="11">
        <v>1500</v>
      </c>
      <c r="F2057" s="3" t="s">
        <v>8</v>
      </c>
      <c r="G2057" s="46">
        <v>16</v>
      </c>
      <c r="H2057" s="3">
        <v>12</v>
      </c>
      <c r="I2057" s="46">
        <v>37.799999999999997</v>
      </c>
      <c r="J2057" s="55">
        <v>0</v>
      </c>
      <c r="K2057" s="1">
        <f t="shared" ref="K2057" si="2950">(IF(F2057="SELL",G2057-H2057,IF(F2057="BUY",H2057-G2057)))*E2057</f>
        <v>-6000</v>
      </c>
      <c r="L2057" s="51">
        <v>0</v>
      </c>
      <c r="M2057" s="52">
        <v>0</v>
      </c>
      <c r="N2057" s="2">
        <f t="shared" si="2886"/>
        <v>-4</v>
      </c>
      <c r="O2057" s="2">
        <f t="shared" si="2900"/>
        <v>-6000</v>
      </c>
      <c r="P2057" s="13"/>
      <c r="Q2057" s="13"/>
      <c r="R2057" s="13"/>
      <c r="S2057" s="13"/>
      <c r="T2057" s="13"/>
      <c r="U2057" s="13"/>
      <c r="V2057" s="13"/>
      <c r="W2057" s="13"/>
      <c r="X2057" s="13"/>
      <c r="Y2057" s="13"/>
      <c r="Z2057" s="13"/>
      <c r="AA2057" s="13"/>
      <c r="AB2057" s="13"/>
      <c r="AC2057" s="13"/>
      <c r="AD2057" s="13"/>
      <c r="AE2057" s="13"/>
      <c r="AF2057" s="13"/>
      <c r="AG2057" s="13"/>
    </row>
    <row r="2058" spans="1:33" s="14" customFormat="1">
      <c r="A2058" s="10">
        <v>43164</v>
      </c>
      <c r="B2058" s="3" t="s">
        <v>211</v>
      </c>
      <c r="C2058" s="15" t="s">
        <v>47</v>
      </c>
      <c r="D2058" s="15">
        <v>900</v>
      </c>
      <c r="E2058" s="11">
        <v>1500</v>
      </c>
      <c r="F2058" s="3" t="s">
        <v>8</v>
      </c>
      <c r="G2058" s="46">
        <v>24</v>
      </c>
      <c r="H2058" s="3">
        <v>25.95</v>
      </c>
      <c r="I2058" s="46">
        <v>0</v>
      </c>
      <c r="J2058" s="55">
        <v>0</v>
      </c>
      <c r="K2058" s="1">
        <f t="shared" ref="K2058" si="2951">(IF(F2058="SELL",G2058-H2058,IF(F2058="BUY",H2058-G2058)))*E2058</f>
        <v>2924.9999999999991</v>
      </c>
      <c r="L2058" s="51">
        <v>0</v>
      </c>
      <c r="M2058" s="52">
        <v>0</v>
      </c>
      <c r="N2058" s="2">
        <f t="shared" si="2886"/>
        <v>1.9499999999999993</v>
      </c>
      <c r="O2058" s="2">
        <f t="shared" si="2900"/>
        <v>2924.9999999999991</v>
      </c>
      <c r="P2058" s="13"/>
      <c r="Q2058" s="13"/>
      <c r="R2058" s="13"/>
      <c r="S2058" s="13"/>
      <c r="T2058" s="13"/>
      <c r="U2058" s="13"/>
      <c r="V2058" s="13"/>
      <c r="W2058" s="13"/>
      <c r="X2058" s="13"/>
      <c r="Y2058" s="13"/>
      <c r="Z2058" s="13"/>
      <c r="AA2058" s="13"/>
      <c r="AB2058" s="13"/>
      <c r="AC2058" s="13"/>
      <c r="AD2058" s="13"/>
      <c r="AE2058" s="13"/>
      <c r="AF2058" s="13"/>
      <c r="AG2058" s="13"/>
    </row>
    <row r="2059" spans="1:33" s="14" customFormat="1">
      <c r="A2059" s="10">
        <v>43160</v>
      </c>
      <c r="B2059" s="3" t="s">
        <v>267</v>
      </c>
      <c r="C2059" s="15" t="s">
        <v>47</v>
      </c>
      <c r="D2059" s="15">
        <v>95.5</v>
      </c>
      <c r="E2059" s="11">
        <v>9000</v>
      </c>
      <c r="F2059" s="3" t="s">
        <v>8</v>
      </c>
      <c r="G2059" s="46">
        <v>2.85</v>
      </c>
      <c r="H2059" s="3">
        <v>0</v>
      </c>
      <c r="I2059" s="46">
        <v>0</v>
      </c>
      <c r="J2059" s="55">
        <v>0</v>
      </c>
      <c r="K2059" s="1">
        <v>0</v>
      </c>
      <c r="L2059" s="51">
        <f t="shared" ref="L2059" si="2952">(IF(F2059="SELL",IF(I2059="",0,H2059-I2059),IF(F2059="BUY",IF(I2059="",0,I2059-H2059))))*E2059</f>
        <v>0</v>
      </c>
      <c r="M2059" s="52">
        <v>0</v>
      </c>
      <c r="N2059" s="2">
        <f t="shared" si="2886"/>
        <v>0</v>
      </c>
      <c r="O2059" s="2">
        <f t="shared" si="2900"/>
        <v>0</v>
      </c>
      <c r="P2059" s="13"/>
      <c r="Q2059" s="13"/>
      <c r="R2059" s="13"/>
      <c r="S2059" s="13"/>
      <c r="T2059" s="13"/>
      <c r="U2059" s="13"/>
      <c r="V2059" s="13"/>
      <c r="W2059" s="13"/>
      <c r="X2059" s="13"/>
      <c r="Y2059" s="13"/>
      <c r="Z2059" s="13"/>
      <c r="AA2059" s="13"/>
      <c r="AB2059" s="13"/>
      <c r="AC2059" s="13"/>
      <c r="AD2059" s="13"/>
      <c r="AE2059" s="13"/>
      <c r="AF2059" s="13"/>
      <c r="AG2059" s="13"/>
    </row>
    <row r="2060" spans="1:33" s="14" customFormat="1">
      <c r="A2060" s="10">
        <v>43157</v>
      </c>
      <c r="B2060" s="3" t="s">
        <v>169</v>
      </c>
      <c r="C2060" s="15" t="s">
        <v>47</v>
      </c>
      <c r="D2060" s="15">
        <v>980</v>
      </c>
      <c r="E2060" s="11">
        <v>1000</v>
      </c>
      <c r="F2060" s="3" t="s">
        <v>8</v>
      </c>
      <c r="G2060" s="46">
        <v>31</v>
      </c>
      <c r="H2060" s="3">
        <v>33.5</v>
      </c>
      <c r="I2060" s="46">
        <v>37.799999999999997</v>
      </c>
      <c r="J2060" s="55">
        <v>0</v>
      </c>
      <c r="K2060" s="1">
        <f t="shared" ref="K2060" si="2953">(IF(F2060="SELL",G2060-H2060,IF(F2060="BUY",H2060-G2060)))*E2060</f>
        <v>2500</v>
      </c>
      <c r="L2060" s="51">
        <f t="shared" ref="L2060:L2061" si="2954">(IF(F2060="SELL",IF(I2060="",0,H2060-I2060),IF(F2060="BUY",IF(I2060="",0,I2060-H2060))))*E2060</f>
        <v>4299.9999999999973</v>
      </c>
      <c r="M2060" s="52">
        <v>0</v>
      </c>
      <c r="N2060" s="2">
        <f t="shared" si="2886"/>
        <v>6.7999999999999972</v>
      </c>
      <c r="O2060" s="2">
        <f t="shared" si="2900"/>
        <v>6799.9999999999973</v>
      </c>
      <c r="P2060" s="13"/>
      <c r="Q2060" s="13"/>
      <c r="R2060" s="13"/>
      <c r="S2060" s="13"/>
      <c r="T2060" s="13"/>
      <c r="U2060" s="13"/>
      <c r="V2060" s="13"/>
      <c r="W2060" s="13"/>
      <c r="X2060" s="13"/>
      <c r="Y2060" s="13"/>
      <c r="Z2060" s="13"/>
      <c r="AA2060" s="13"/>
      <c r="AB2060" s="13"/>
      <c r="AC2060" s="13"/>
      <c r="AD2060" s="13"/>
      <c r="AE2060" s="13"/>
      <c r="AF2060" s="13"/>
      <c r="AG2060" s="13"/>
    </row>
    <row r="2061" spans="1:33" s="14" customFormat="1">
      <c r="A2061" s="10">
        <v>43157</v>
      </c>
      <c r="B2061" s="3" t="s">
        <v>158</v>
      </c>
      <c r="C2061" s="15" t="s">
        <v>47</v>
      </c>
      <c r="D2061" s="15">
        <v>9000</v>
      </c>
      <c r="E2061" s="11">
        <v>75</v>
      </c>
      <c r="F2061" s="3" t="s">
        <v>8</v>
      </c>
      <c r="G2061" s="46">
        <v>135</v>
      </c>
      <c r="H2061" s="3">
        <v>150</v>
      </c>
      <c r="I2061" s="46">
        <v>165</v>
      </c>
      <c r="J2061" s="55">
        <v>0</v>
      </c>
      <c r="K2061" s="1">
        <f t="shared" ref="K2061" si="2955">(IF(F2061="SELL",G2061-H2061,IF(F2061="BUY",H2061-G2061)))*E2061</f>
        <v>1125</v>
      </c>
      <c r="L2061" s="51">
        <f t="shared" si="2954"/>
        <v>1125</v>
      </c>
      <c r="M2061" s="52">
        <v>0</v>
      </c>
      <c r="N2061" s="2">
        <f t="shared" si="2886"/>
        <v>30</v>
      </c>
      <c r="O2061" s="2">
        <f t="shared" si="2900"/>
        <v>2250</v>
      </c>
      <c r="P2061" s="13"/>
      <c r="Q2061" s="13"/>
      <c r="R2061" s="13"/>
      <c r="S2061" s="13"/>
      <c r="T2061" s="13"/>
      <c r="U2061" s="13"/>
      <c r="V2061" s="13"/>
      <c r="W2061" s="13"/>
      <c r="X2061" s="13"/>
      <c r="Y2061" s="13"/>
      <c r="Z2061" s="13"/>
      <c r="AA2061" s="13"/>
      <c r="AB2061" s="13"/>
      <c r="AC2061" s="13"/>
      <c r="AD2061" s="13"/>
      <c r="AE2061" s="13"/>
      <c r="AF2061" s="13"/>
      <c r="AG2061" s="13"/>
    </row>
    <row r="2062" spans="1:33" s="14" customFormat="1">
      <c r="A2062" s="10">
        <v>43157</v>
      </c>
      <c r="B2062" s="3" t="s">
        <v>153</v>
      </c>
      <c r="C2062" s="15" t="s">
        <v>47</v>
      </c>
      <c r="D2062" s="15">
        <v>230</v>
      </c>
      <c r="E2062" s="11">
        <v>1200</v>
      </c>
      <c r="F2062" s="3" t="s">
        <v>8</v>
      </c>
      <c r="G2062" s="46">
        <v>24</v>
      </c>
      <c r="H2062" s="3">
        <v>26</v>
      </c>
      <c r="I2062" s="46">
        <v>0</v>
      </c>
      <c r="J2062" s="55">
        <v>0</v>
      </c>
      <c r="K2062" s="1">
        <f t="shared" ref="K2062" si="2956">(IF(F2062="SELL",G2062-H2062,IF(F2062="BUY",H2062-G2062)))*E2062</f>
        <v>2400</v>
      </c>
      <c r="L2062" s="51">
        <v>0</v>
      </c>
      <c r="M2062" s="52">
        <v>0</v>
      </c>
      <c r="N2062" s="2">
        <f t="shared" si="2886"/>
        <v>2</v>
      </c>
      <c r="O2062" s="2">
        <f t="shared" si="2900"/>
        <v>2400</v>
      </c>
      <c r="P2062" s="13"/>
      <c r="Q2062" s="13"/>
      <c r="R2062" s="13"/>
      <c r="S2062" s="13"/>
      <c r="T2062" s="13"/>
      <c r="U2062" s="13"/>
      <c r="V2062" s="13"/>
      <c r="W2062" s="13"/>
      <c r="X2062" s="13"/>
      <c r="Y2062" s="13"/>
      <c r="Z2062" s="13"/>
      <c r="AA2062" s="13"/>
      <c r="AB2062" s="13"/>
      <c r="AC2062" s="13"/>
      <c r="AD2062" s="13"/>
      <c r="AE2062" s="13"/>
      <c r="AF2062" s="13"/>
      <c r="AG2062" s="13"/>
    </row>
    <row r="2063" spans="1:33" s="14" customFormat="1">
      <c r="A2063" s="10">
        <v>43154</v>
      </c>
      <c r="B2063" s="3" t="s">
        <v>239</v>
      </c>
      <c r="C2063" s="15" t="s">
        <v>47</v>
      </c>
      <c r="D2063" s="15">
        <v>230</v>
      </c>
      <c r="E2063" s="11">
        <v>5000</v>
      </c>
      <c r="F2063" s="3" t="s">
        <v>8</v>
      </c>
      <c r="G2063" s="46">
        <v>7.4</v>
      </c>
      <c r="H2063" s="3">
        <v>8</v>
      </c>
      <c r="I2063" s="46">
        <v>0</v>
      </c>
      <c r="J2063" s="55">
        <v>0</v>
      </c>
      <c r="K2063" s="1">
        <f t="shared" ref="K2063" si="2957">(IF(F2063="SELL",G2063-H2063,IF(F2063="BUY",H2063-G2063)))*E2063</f>
        <v>2999.9999999999982</v>
      </c>
      <c r="L2063" s="51">
        <v>0</v>
      </c>
      <c r="M2063" s="52">
        <v>0</v>
      </c>
      <c r="N2063" s="2">
        <f t="shared" si="2886"/>
        <v>0.59999999999999964</v>
      </c>
      <c r="O2063" s="2">
        <f t="shared" si="2900"/>
        <v>2999.9999999999982</v>
      </c>
      <c r="P2063" s="13"/>
      <c r="Q2063" s="13"/>
      <c r="R2063" s="13"/>
      <c r="S2063" s="13"/>
      <c r="T2063" s="13"/>
      <c r="U2063" s="13"/>
      <c r="V2063" s="13"/>
      <c r="W2063" s="13"/>
      <c r="X2063" s="13"/>
      <c r="Y2063" s="13"/>
      <c r="Z2063" s="13"/>
      <c r="AA2063" s="13"/>
      <c r="AB2063" s="13"/>
      <c r="AC2063" s="13"/>
      <c r="AD2063" s="13"/>
      <c r="AE2063" s="13"/>
      <c r="AF2063" s="13"/>
      <c r="AG2063" s="13"/>
    </row>
    <row r="2064" spans="1:33" s="14" customFormat="1">
      <c r="A2064" s="10">
        <v>43154</v>
      </c>
      <c r="B2064" s="3" t="s">
        <v>277</v>
      </c>
      <c r="C2064" s="15" t="s">
        <v>47</v>
      </c>
      <c r="D2064" s="15">
        <v>165</v>
      </c>
      <c r="E2064" s="11">
        <v>4500</v>
      </c>
      <c r="F2064" s="3" t="s">
        <v>8</v>
      </c>
      <c r="G2064" s="46">
        <v>4.5</v>
      </c>
      <c r="H2064" s="3">
        <v>5.0999999999999996</v>
      </c>
      <c r="I2064" s="46">
        <v>0</v>
      </c>
      <c r="J2064" s="55">
        <v>0</v>
      </c>
      <c r="K2064" s="1">
        <f t="shared" ref="K2064" si="2958">(IF(F2064="SELL",G2064-H2064,IF(F2064="BUY",H2064-G2064)))*E2064</f>
        <v>2699.9999999999982</v>
      </c>
      <c r="L2064" s="51">
        <v>0</v>
      </c>
      <c r="M2064" s="52">
        <v>0</v>
      </c>
      <c r="N2064" s="2">
        <f t="shared" si="2886"/>
        <v>0.59999999999999964</v>
      </c>
      <c r="O2064" s="2">
        <f t="shared" si="2900"/>
        <v>2699.9999999999982</v>
      </c>
      <c r="P2064" s="13"/>
      <c r="Q2064" s="13"/>
      <c r="R2064" s="13"/>
      <c r="S2064" s="13"/>
      <c r="T2064" s="13"/>
      <c r="U2064" s="13"/>
      <c r="V2064" s="13"/>
      <c r="W2064" s="13"/>
      <c r="X2064" s="13"/>
      <c r="Y2064" s="13"/>
      <c r="Z2064" s="13"/>
      <c r="AA2064" s="13"/>
      <c r="AB2064" s="13"/>
      <c r="AC2064" s="13"/>
      <c r="AD2064" s="13"/>
      <c r="AE2064" s="13"/>
      <c r="AF2064" s="13"/>
      <c r="AG2064" s="13"/>
    </row>
    <row r="2065" spans="1:33" s="14" customFormat="1">
      <c r="A2065" s="10">
        <v>43154</v>
      </c>
      <c r="B2065" s="3" t="s">
        <v>262</v>
      </c>
      <c r="C2065" s="15" t="s">
        <v>47</v>
      </c>
      <c r="D2065" s="15">
        <v>1350</v>
      </c>
      <c r="E2065" s="11">
        <v>600</v>
      </c>
      <c r="F2065" s="3" t="s">
        <v>8</v>
      </c>
      <c r="G2065" s="46">
        <v>39</v>
      </c>
      <c r="H2065" s="3">
        <v>43</v>
      </c>
      <c r="I2065" s="46">
        <v>0</v>
      </c>
      <c r="J2065" s="55">
        <v>0</v>
      </c>
      <c r="K2065" s="1">
        <f t="shared" ref="K2065" si="2959">(IF(F2065="SELL",G2065-H2065,IF(F2065="BUY",H2065-G2065)))*E2065</f>
        <v>2400</v>
      </c>
      <c r="L2065" s="51">
        <v>0</v>
      </c>
      <c r="M2065" s="52">
        <v>0</v>
      </c>
      <c r="N2065" s="2">
        <f t="shared" si="2886"/>
        <v>4</v>
      </c>
      <c r="O2065" s="2">
        <f t="shared" si="2900"/>
        <v>2400</v>
      </c>
      <c r="P2065" s="13"/>
      <c r="Q2065" s="13"/>
      <c r="R2065" s="13"/>
      <c r="S2065" s="13"/>
      <c r="T2065" s="13"/>
      <c r="U2065" s="13"/>
      <c r="V2065" s="13"/>
      <c r="W2065" s="13"/>
      <c r="X2065" s="13"/>
      <c r="Y2065" s="13"/>
      <c r="Z2065" s="13"/>
      <c r="AA2065" s="13"/>
      <c r="AB2065" s="13"/>
      <c r="AC2065" s="13"/>
      <c r="AD2065" s="13"/>
      <c r="AE2065" s="13"/>
      <c r="AF2065" s="13"/>
      <c r="AG2065" s="13"/>
    </row>
    <row r="2066" spans="1:33" s="14" customFormat="1">
      <c r="A2066" s="10">
        <v>43153</v>
      </c>
      <c r="B2066" s="3" t="s">
        <v>212</v>
      </c>
      <c r="C2066" s="15" t="s">
        <v>46</v>
      </c>
      <c r="D2066" s="15">
        <v>150</v>
      </c>
      <c r="E2066" s="11">
        <v>4950</v>
      </c>
      <c r="F2066" s="3" t="s">
        <v>8</v>
      </c>
      <c r="G2066" s="46">
        <v>1.5</v>
      </c>
      <c r="H2066" s="3">
        <v>2</v>
      </c>
      <c r="I2066" s="46">
        <v>3</v>
      </c>
      <c r="J2066" s="55">
        <v>0</v>
      </c>
      <c r="K2066" s="1">
        <f t="shared" ref="K2066" si="2960">(IF(F2066="SELL",G2066-H2066,IF(F2066="BUY",H2066-G2066)))*E2066</f>
        <v>2475</v>
      </c>
      <c r="L2066" s="51">
        <f t="shared" ref="L2066" si="2961">(IF(F2066="SELL",IF(I2066="",0,H2066-I2066),IF(F2066="BUY",IF(I2066="",0,I2066-H2066))))*E2066</f>
        <v>4950</v>
      </c>
      <c r="M2066" s="52">
        <v>0</v>
      </c>
      <c r="N2066" s="2">
        <f t="shared" si="2886"/>
        <v>1.5</v>
      </c>
      <c r="O2066" s="2">
        <f t="shared" si="2900"/>
        <v>7425</v>
      </c>
      <c r="P2066" s="13"/>
      <c r="Q2066" s="13"/>
      <c r="R2066" s="13"/>
      <c r="S2066" s="13"/>
      <c r="T2066" s="13"/>
      <c r="U2066" s="13"/>
      <c r="V2066" s="13"/>
      <c r="W2066" s="13"/>
      <c r="X2066" s="13"/>
      <c r="Y2066" s="13"/>
      <c r="Z2066" s="13"/>
      <c r="AA2066" s="13"/>
      <c r="AB2066" s="13"/>
      <c r="AC2066" s="13"/>
      <c r="AD2066" s="13"/>
      <c r="AE2066" s="13"/>
      <c r="AF2066" s="13"/>
      <c r="AG2066" s="13"/>
    </row>
    <row r="2067" spans="1:33" s="14" customFormat="1">
      <c r="A2067" s="10">
        <v>43153</v>
      </c>
      <c r="B2067" s="3" t="s">
        <v>153</v>
      </c>
      <c r="C2067" s="15" t="s">
        <v>46</v>
      </c>
      <c r="D2067" s="15">
        <v>740</v>
      </c>
      <c r="E2067" s="11">
        <v>1200</v>
      </c>
      <c r="F2067" s="3" t="s">
        <v>8</v>
      </c>
      <c r="G2067" s="46">
        <v>8.5</v>
      </c>
      <c r="H2067" s="3">
        <v>11</v>
      </c>
      <c r="I2067" s="46">
        <v>21</v>
      </c>
      <c r="J2067" s="55">
        <v>0</v>
      </c>
      <c r="K2067" s="1">
        <f t="shared" ref="K2067" si="2962">(IF(F2067="SELL",G2067-H2067,IF(F2067="BUY",H2067-G2067)))*E2067</f>
        <v>3000</v>
      </c>
      <c r="L2067" s="51">
        <v>0</v>
      </c>
      <c r="M2067" s="52">
        <v>0</v>
      </c>
      <c r="N2067" s="2">
        <f t="shared" si="2886"/>
        <v>2.5</v>
      </c>
      <c r="O2067" s="2">
        <f t="shared" si="2900"/>
        <v>3000</v>
      </c>
      <c r="P2067" s="13"/>
      <c r="Q2067" s="13"/>
      <c r="R2067" s="13"/>
      <c r="S2067" s="13"/>
      <c r="T2067" s="13"/>
      <c r="U2067" s="13"/>
      <c r="V2067" s="13"/>
      <c r="W2067" s="13"/>
      <c r="X2067" s="13"/>
      <c r="Y2067" s="13"/>
      <c r="Z2067" s="13"/>
      <c r="AA2067" s="13"/>
      <c r="AB2067" s="13"/>
      <c r="AC2067" s="13"/>
      <c r="AD2067" s="13"/>
      <c r="AE2067" s="13"/>
      <c r="AF2067" s="13"/>
      <c r="AG2067" s="13"/>
    </row>
    <row r="2068" spans="1:33" s="14" customFormat="1">
      <c r="A2068" s="10">
        <v>43152</v>
      </c>
      <c r="B2068" s="3" t="s">
        <v>276</v>
      </c>
      <c r="C2068" s="15" t="s">
        <v>46</v>
      </c>
      <c r="D2068" s="15">
        <v>520</v>
      </c>
      <c r="E2068" s="11">
        <v>1200</v>
      </c>
      <c r="F2068" s="3" t="s">
        <v>8</v>
      </c>
      <c r="G2068" s="46">
        <v>8</v>
      </c>
      <c r="H2068" s="3">
        <v>5</v>
      </c>
      <c r="I2068" s="46">
        <v>0</v>
      </c>
      <c r="J2068" s="55">
        <v>0</v>
      </c>
      <c r="K2068" s="1">
        <f t="shared" ref="K2068" si="2963">(IF(F2068="SELL",G2068-H2068,IF(F2068="BUY",H2068-G2068)))*E2068</f>
        <v>-3600</v>
      </c>
      <c r="L2068" s="51">
        <v>0</v>
      </c>
      <c r="M2068" s="52">
        <v>0</v>
      </c>
      <c r="N2068" s="2">
        <f t="shared" si="2886"/>
        <v>-3</v>
      </c>
      <c r="O2068" s="2">
        <f t="shared" si="2900"/>
        <v>-3600</v>
      </c>
      <c r="P2068" s="13"/>
      <c r="Q2068" s="13"/>
      <c r="R2068" s="13"/>
      <c r="S2068" s="13"/>
      <c r="T2068" s="13"/>
      <c r="U2068" s="13"/>
      <c r="V2068" s="13"/>
      <c r="W2068" s="13"/>
      <c r="X2068" s="13"/>
      <c r="Y2068" s="13"/>
      <c r="Z2068" s="13"/>
      <c r="AA2068" s="13"/>
      <c r="AB2068" s="13"/>
      <c r="AC2068" s="13"/>
      <c r="AD2068" s="13"/>
      <c r="AE2068" s="13"/>
      <c r="AF2068" s="13"/>
      <c r="AG2068" s="13"/>
    </row>
    <row r="2069" spans="1:33" s="14" customFormat="1">
      <c r="A2069" s="10">
        <v>43151</v>
      </c>
      <c r="B2069" s="3" t="s">
        <v>157</v>
      </c>
      <c r="C2069" s="15" t="s">
        <v>47</v>
      </c>
      <c r="D2069" s="15">
        <v>820</v>
      </c>
      <c r="E2069" s="11">
        <v>1500</v>
      </c>
      <c r="F2069" s="3" t="s">
        <v>8</v>
      </c>
      <c r="G2069" s="46">
        <v>9</v>
      </c>
      <c r="H2069" s="3">
        <v>10.5</v>
      </c>
      <c r="I2069" s="46">
        <v>14</v>
      </c>
      <c r="J2069" s="55">
        <v>19</v>
      </c>
      <c r="K2069" s="1">
        <f t="shared" ref="K2069:K2070" si="2964">(IF(F2069="SELL",G2069-H2069,IF(F2069="BUY",H2069-G2069)))*E2069</f>
        <v>2250</v>
      </c>
      <c r="L2069" s="51">
        <f t="shared" ref="L2069" si="2965">(IF(F2069="SELL",IF(I2069="",0,H2069-I2069),IF(F2069="BUY",IF(I2069="",0,I2069-H2069))))*E2069</f>
        <v>5250</v>
      </c>
      <c r="M2069" s="52">
        <v>7500</v>
      </c>
      <c r="N2069" s="2">
        <f t="shared" ref="N2069:N2132" si="2966">(L2069+K2069+M2069)/E2069</f>
        <v>10</v>
      </c>
      <c r="O2069" s="2">
        <f t="shared" si="2900"/>
        <v>15000</v>
      </c>
      <c r="P2069" s="13"/>
      <c r="Q2069" s="13"/>
      <c r="R2069" s="13"/>
      <c r="S2069" s="13"/>
      <c r="T2069" s="13"/>
      <c r="U2069" s="13"/>
      <c r="V2069" s="13"/>
      <c r="W2069" s="13"/>
      <c r="X2069" s="13"/>
      <c r="Y2069" s="13"/>
      <c r="Z2069" s="13"/>
      <c r="AA2069" s="13"/>
      <c r="AB2069" s="13"/>
      <c r="AC2069" s="13"/>
      <c r="AD2069" s="13"/>
      <c r="AE2069" s="13"/>
      <c r="AF2069" s="13"/>
      <c r="AG2069" s="13"/>
    </row>
    <row r="2070" spans="1:33" s="14" customFormat="1">
      <c r="A2070" s="10">
        <v>43151</v>
      </c>
      <c r="B2070" s="3" t="s">
        <v>275</v>
      </c>
      <c r="C2070" s="15" t="s">
        <v>47</v>
      </c>
      <c r="D2070" s="15">
        <v>1140</v>
      </c>
      <c r="E2070" s="11">
        <v>600</v>
      </c>
      <c r="F2070" s="3" t="s">
        <v>8</v>
      </c>
      <c r="G2070" s="46">
        <v>12</v>
      </c>
      <c r="H2070" s="3">
        <v>14.7</v>
      </c>
      <c r="I2070" s="46">
        <v>0</v>
      </c>
      <c r="J2070" s="55">
        <v>0</v>
      </c>
      <c r="K2070" s="1">
        <f t="shared" si="2964"/>
        <v>1619.9999999999995</v>
      </c>
      <c r="L2070" s="51">
        <v>0</v>
      </c>
      <c r="M2070" s="52">
        <v>0</v>
      </c>
      <c r="N2070" s="2">
        <f t="shared" si="2966"/>
        <v>2.6999999999999993</v>
      </c>
      <c r="O2070" s="2">
        <f t="shared" si="2900"/>
        <v>1619.9999999999995</v>
      </c>
      <c r="P2070" s="13"/>
      <c r="Q2070" s="13"/>
      <c r="R2070" s="13"/>
      <c r="S2070" s="13"/>
      <c r="T2070" s="13"/>
      <c r="U2070" s="13"/>
      <c r="V2070" s="13"/>
      <c r="W2070" s="13"/>
      <c r="X2070" s="13"/>
      <c r="Y2070" s="13"/>
      <c r="Z2070" s="13"/>
      <c r="AA2070" s="13"/>
      <c r="AB2070" s="13"/>
      <c r="AC2070" s="13"/>
      <c r="AD2070" s="13"/>
      <c r="AE2070" s="13"/>
      <c r="AF2070" s="13"/>
      <c r="AG2070" s="13"/>
    </row>
    <row r="2071" spans="1:33" s="14" customFormat="1">
      <c r="A2071" s="10">
        <v>43147</v>
      </c>
      <c r="B2071" s="3" t="s">
        <v>274</v>
      </c>
      <c r="C2071" s="15" t="s">
        <v>46</v>
      </c>
      <c r="D2071" s="15">
        <v>115</v>
      </c>
      <c r="E2071" s="11">
        <v>9000</v>
      </c>
      <c r="F2071" s="3" t="s">
        <v>8</v>
      </c>
      <c r="G2071" s="46">
        <v>1.7</v>
      </c>
      <c r="H2071" s="3">
        <v>1.7</v>
      </c>
      <c r="I2071" s="46">
        <v>0</v>
      </c>
      <c r="J2071" s="55">
        <v>0</v>
      </c>
      <c r="K2071" s="1">
        <f t="shared" ref="K2071" si="2967">(IF(F2071="SELL",G2071-H2071,IF(F2071="BUY",H2071-G2071)))*E2071</f>
        <v>0</v>
      </c>
      <c r="L2071" s="51">
        <v>0</v>
      </c>
      <c r="M2071" s="52">
        <v>0</v>
      </c>
      <c r="N2071" s="2">
        <f t="shared" si="2966"/>
        <v>0</v>
      </c>
      <c r="O2071" s="2">
        <f t="shared" si="2900"/>
        <v>0</v>
      </c>
      <c r="P2071" s="13"/>
      <c r="Q2071" s="13"/>
      <c r="R2071" s="13"/>
      <c r="S2071" s="13"/>
      <c r="T2071" s="13"/>
      <c r="U2071" s="13"/>
      <c r="V2071" s="13"/>
      <c r="W2071" s="13"/>
      <c r="X2071" s="13"/>
      <c r="Y2071" s="13"/>
      <c r="Z2071" s="13"/>
      <c r="AA2071" s="13"/>
      <c r="AB2071" s="13"/>
      <c r="AC2071" s="13"/>
      <c r="AD2071" s="13"/>
      <c r="AE2071" s="13"/>
      <c r="AF2071" s="13"/>
      <c r="AG2071" s="13"/>
    </row>
    <row r="2072" spans="1:33" s="14" customFormat="1">
      <c r="A2072" s="10">
        <v>43145</v>
      </c>
      <c r="B2072" s="3" t="s">
        <v>273</v>
      </c>
      <c r="C2072" s="15" t="s">
        <v>47</v>
      </c>
      <c r="D2072" s="15">
        <v>140</v>
      </c>
      <c r="E2072" s="11">
        <v>7000</v>
      </c>
      <c r="F2072" s="3" t="s">
        <v>8</v>
      </c>
      <c r="G2072" s="46">
        <v>2.2999999999999998</v>
      </c>
      <c r="H2072" s="3">
        <v>2.7</v>
      </c>
      <c r="I2072" s="46">
        <v>0</v>
      </c>
      <c r="J2072" s="55">
        <v>0</v>
      </c>
      <c r="K2072" s="1">
        <f t="shared" ref="K2072" si="2968">(IF(F2072="SELL",G2072-H2072,IF(F2072="BUY",H2072-G2072)))*E2072</f>
        <v>2800.0000000000023</v>
      </c>
      <c r="L2072" s="51">
        <v>0</v>
      </c>
      <c r="M2072" s="52">
        <v>0</v>
      </c>
      <c r="N2072" s="2">
        <f t="shared" si="2966"/>
        <v>0.4000000000000003</v>
      </c>
      <c r="O2072" s="2">
        <f t="shared" si="2900"/>
        <v>2800.0000000000023</v>
      </c>
      <c r="P2072" s="13"/>
      <c r="Q2072" s="13"/>
      <c r="R2072" s="13"/>
      <c r="S2072" s="13"/>
      <c r="T2072" s="13"/>
      <c r="U2072" s="13"/>
      <c r="V2072" s="13"/>
      <c r="W2072" s="13"/>
      <c r="X2072" s="13"/>
      <c r="Y2072" s="13"/>
      <c r="Z2072" s="13"/>
      <c r="AA2072" s="13"/>
      <c r="AB2072" s="13"/>
      <c r="AC2072" s="13"/>
      <c r="AD2072" s="13"/>
      <c r="AE2072" s="13"/>
      <c r="AF2072" s="13"/>
      <c r="AG2072" s="13"/>
    </row>
    <row r="2073" spans="1:33" s="14" customFormat="1">
      <c r="A2073" s="10">
        <v>43145</v>
      </c>
      <c r="B2073" s="3" t="s">
        <v>261</v>
      </c>
      <c r="C2073" s="15" t="s">
        <v>47</v>
      </c>
      <c r="D2073" s="15">
        <v>120</v>
      </c>
      <c r="E2073" s="11">
        <v>4500</v>
      </c>
      <c r="F2073" s="3" t="s">
        <v>8</v>
      </c>
      <c r="G2073" s="46">
        <v>3.3</v>
      </c>
      <c r="H2073" s="3">
        <v>3.7</v>
      </c>
      <c r="I2073" s="46">
        <v>0</v>
      </c>
      <c r="J2073" s="55">
        <v>0</v>
      </c>
      <c r="K2073" s="1">
        <f t="shared" ref="K2073" si="2969">(IF(F2073="SELL",G2073-H2073,IF(F2073="BUY",H2073-G2073)))*E2073</f>
        <v>1800.0000000000016</v>
      </c>
      <c r="L2073" s="51">
        <v>0</v>
      </c>
      <c r="M2073" s="52">
        <v>0</v>
      </c>
      <c r="N2073" s="2">
        <f t="shared" si="2966"/>
        <v>0.40000000000000036</v>
      </c>
      <c r="O2073" s="2">
        <f t="shared" si="2900"/>
        <v>1800.0000000000016</v>
      </c>
      <c r="P2073" s="13"/>
      <c r="Q2073" s="13"/>
      <c r="R2073" s="13"/>
      <c r="S2073" s="13"/>
      <c r="T2073" s="13"/>
      <c r="U2073" s="13"/>
      <c r="V2073" s="13"/>
      <c r="W2073" s="13"/>
      <c r="X2073" s="13"/>
      <c r="Y2073" s="13"/>
      <c r="Z2073" s="13"/>
      <c r="AA2073" s="13"/>
      <c r="AB2073" s="13"/>
      <c r="AC2073" s="13"/>
      <c r="AD2073" s="13"/>
      <c r="AE2073" s="13"/>
      <c r="AF2073" s="13"/>
      <c r="AG2073" s="13"/>
    </row>
    <row r="2074" spans="1:33" s="14" customFormat="1">
      <c r="A2074" s="10">
        <v>43143</v>
      </c>
      <c r="B2074" s="3" t="s">
        <v>239</v>
      </c>
      <c r="C2074" s="15" t="s">
        <v>47</v>
      </c>
      <c r="D2074" s="15">
        <v>240</v>
      </c>
      <c r="E2074" s="11">
        <v>5000</v>
      </c>
      <c r="F2074" s="3" t="s">
        <v>8</v>
      </c>
      <c r="G2074" s="46">
        <v>7</v>
      </c>
      <c r="H2074" s="3">
        <v>5</v>
      </c>
      <c r="I2074" s="46">
        <v>0</v>
      </c>
      <c r="J2074" s="55">
        <v>0</v>
      </c>
      <c r="K2074" s="1">
        <f t="shared" ref="K2074" si="2970">(IF(F2074="SELL",G2074-H2074,IF(F2074="BUY",H2074-G2074)))*E2074</f>
        <v>-10000</v>
      </c>
      <c r="L2074" s="51">
        <v>0</v>
      </c>
      <c r="M2074" s="52">
        <v>0</v>
      </c>
      <c r="N2074" s="2">
        <f t="shared" si="2966"/>
        <v>-2</v>
      </c>
      <c r="O2074" s="2">
        <f t="shared" si="2900"/>
        <v>-10000</v>
      </c>
      <c r="P2074" s="13"/>
      <c r="Q2074" s="13"/>
      <c r="R2074" s="13"/>
      <c r="S2074" s="13"/>
      <c r="T2074" s="13"/>
      <c r="U2074" s="13"/>
      <c r="V2074" s="13"/>
      <c r="W2074" s="13"/>
      <c r="X2074" s="13"/>
      <c r="Y2074" s="13"/>
      <c r="Z2074" s="13"/>
      <c r="AA2074" s="13"/>
      <c r="AB2074" s="13"/>
      <c r="AC2074" s="13"/>
      <c r="AD2074" s="13"/>
      <c r="AE2074" s="13"/>
      <c r="AF2074" s="13"/>
      <c r="AG2074" s="13"/>
    </row>
    <row r="2075" spans="1:33" s="14" customFormat="1">
      <c r="A2075" s="10">
        <v>43139</v>
      </c>
      <c r="B2075" s="3" t="s">
        <v>239</v>
      </c>
      <c r="C2075" s="15" t="s">
        <v>47</v>
      </c>
      <c r="D2075" s="15">
        <v>240</v>
      </c>
      <c r="E2075" s="11">
        <v>5000</v>
      </c>
      <c r="F2075" s="3" t="s">
        <v>8</v>
      </c>
      <c r="G2075" s="46">
        <v>6.3</v>
      </c>
      <c r="H2075" s="3">
        <v>6.7</v>
      </c>
      <c r="I2075" s="46">
        <v>0</v>
      </c>
      <c r="J2075" s="55">
        <v>0</v>
      </c>
      <c r="K2075" s="1">
        <f t="shared" ref="K2075" si="2971">(IF(F2075="SELL",G2075-H2075,IF(F2075="BUY",H2075-G2075)))*E2075</f>
        <v>2000.0000000000018</v>
      </c>
      <c r="L2075" s="51">
        <v>0</v>
      </c>
      <c r="M2075" s="52">
        <v>0</v>
      </c>
      <c r="N2075" s="2">
        <f t="shared" si="2966"/>
        <v>0.40000000000000036</v>
      </c>
      <c r="O2075" s="2">
        <f t="shared" si="2900"/>
        <v>2000.0000000000018</v>
      </c>
      <c r="P2075" s="13"/>
      <c r="Q2075" s="13"/>
      <c r="R2075" s="13"/>
      <c r="S2075" s="13"/>
      <c r="T2075" s="13"/>
      <c r="U2075" s="13"/>
      <c r="V2075" s="13"/>
      <c r="W2075" s="13"/>
      <c r="X2075" s="13"/>
      <c r="Y2075" s="13"/>
      <c r="Z2075" s="13"/>
      <c r="AA2075" s="13"/>
      <c r="AB2075" s="13"/>
      <c r="AC2075" s="13"/>
      <c r="AD2075" s="13"/>
      <c r="AE2075" s="13"/>
      <c r="AF2075" s="13"/>
      <c r="AG2075" s="13"/>
    </row>
    <row r="2076" spans="1:33" s="14" customFormat="1">
      <c r="A2076" s="10">
        <v>43138</v>
      </c>
      <c r="B2076" s="3" t="s">
        <v>167</v>
      </c>
      <c r="C2076" s="15" t="s">
        <v>47</v>
      </c>
      <c r="D2076" s="15">
        <v>1000</v>
      </c>
      <c r="E2076" s="11">
        <v>1100</v>
      </c>
      <c r="F2076" s="3" t="s">
        <v>8</v>
      </c>
      <c r="G2076" s="46">
        <v>18</v>
      </c>
      <c r="H2076" s="3">
        <v>12</v>
      </c>
      <c r="I2076" s="46">
        <v>0</v>
      </c>
      <c r="J2076" s="55">
        <v>0</v>
      </c>
      <c r="K2076" s="1">
        <f t="shared" ref="K2076" si="2972">(IF(F2076="SELL",G2076-H2076,IF(F2076="BUY",H2076-G2076)))*E2076</f>
        <v>-6600</v>
      </c>
      <c r="L2076" s="51">
        <v>0</v>
      </c>
      <c r="M2076" s="52">
        <v>0</v>
      </c>
      <c r="N2076" s="2">
        <f t="shared" si="2966"/>
        <v>-6</v>
      </c>
      <c r="O2076" s="2">
        <f t="shared" si="2900"/>
        <v>-6600</v>
      </c>
      <c r="P2076" s="13"/>
      <c r="Q2076" s="13"/>
      <c r="R2076" s="13"/>
      <c r="S2076" s="13"/>
      <c r="T2076" s="13"/>
      <c r="U2076" s="13"/>
      <c r="V2076" s="13"/>
      <c r="W2076" s="13"/>
      <c r="X2076" s="13"/>
      <c r="Y2076" s="13"/>
      <c r="Z2076" s="13"/>
      <c r="AA2076" s="13"/>
      <c r="AB2076" s="13"/>
      <c r="AC2076" s="13"/>
      <c r="AD2076" s="13"/>
      <c r="AE2076" s="13"/>
      <c r="AF2076" s="13"/>
      <c r="AG2076" s="13"/>
    </row>
    <row r="2077" spans="1:33" s="14" customFormat="1" ht="15" customHeight="1">
      <c r="A2077" s="10">
        <v>43136</v>
      </c>
      <c r="B2077" s="3" t="s">
        <v>196</v>
      </c>
      <c r="C2077" s="15" t="s">
        <v>47</v>
      </c>
      <c r="D2077" s="15">
        <v>630</v>
      </c>
      <c r="E2077" s="11">
        <v>1200</v>
      </c>
      <c r="F2077" s="3" t="s">
        <v>8</v>
      </c>
      <c r="G2077" s="46">
        <v>18</v>
      </c>
      <c r="H2077" s="3">
        <v>20</v>
      </c>
      <c r="I2077" s="46">
        <v>0</v>
      </c>
      <c r="J2077" s="55">
        <v>0</v>
      </c>
      <c r="K2077" s="1">
        <f t="shared" ref="K2077" si="2973">(IF(F2077="SELL",G2077-H2077,IF(F2077="BUY",H2077-G2077)))*E2077</f>
        <v>2400</v>
      </c>
      <c r="L2077" s="51">
        <v>0</v>
      </c>
      <c r="M2077" s="52">
        <v>0</v>
      </c>
      <c r="N2077" s="2">
        <f t="shared" si="2966"/>
        <v>2</v>
      </c>
      <c r="O2077" s="2">
        <f t="shared" si="2900"/>
        <v>2400</v>
      </c>
      <c r="P2077" s="13"/>
      <c r="Q2077" s="13"/>
      <c r="R2077" s="13"/>
      <c r="S2077" s="13"/>
      <c r="T2077" s="13"/>
      <c r="U2077" s="13"/>
      <c r="V2077" s="13"/>
      <c r="W2077" s="13"/>
      <c r="X2077" s="13"/>
      <c r="Y2077" s="13"/>
      <c r="Z2077" s="13"/>
      <c r="AA2077" s="13"/>
      <c r="AB2077" s="13"/>
      <c r="AC2077" s="13"/>
      <c r="AD2077" s="13"/>
      <c r="AE2077" s="13"/>
      <c r="AF2077" s="13"/>
      <c r="AG2077" s="13"/>
    </row>
    <row r="2078" spans="1:33" s="14" customFormat="1" ht="15" customHeight="1">
      <c r="A2078" s="10">
        <v>43133</v>
      </c>
      <c r="B2078" s="3" t="s">
        <v>196</v>
      </c>
      <c r="C2078" s="15" t="s">
        <v>47</v>
      </c>
      <c r="D2078" s="15">
        <v>630</v>
      </c>
      <c r="E2078" s="11">
        <v>1200</v>
      </c>
      <c r="F2078" s="3" t="s">
        <v>8</v>
      </c>
      <c r="G2078" s="46">
        <v>14</v>
      </c>
      <c r="H2078" s="3">
        <v>0</v>
      </c>
      <c r="I2078" s="46">
        <v>0</v>
      </c>
      <c r="J2078" s="55">
        <v>0</v>
      </c>
      <c r="K2078" s="1">
        <v>0</v>
      </c>
      <c r="L2078" s="51">
        <f t="shared" ref="L2078" si="2974">(IF(F2078="SELL",IF(I2078="",0,H2078-I2078),IF(F2078="BUY",IF(I2078="",0,I2078-H2078))))*E2078</f>
        <v>0</v>
      </c>
      <c r="M2078" s="52">
        <v>0</v>
      </c>
      <c r="N2078" s="2">
        <f t="shared" si="2966"/>
        <v>0</v>
      </c>
      <c r="O2078" s="2">
        <f t="shared" si="2900"/>
        <v>0</v>
      </c>
      <c r="P2078" s="13"/>
      <c r="Q2078" s="13"/>
      <c r="R2078" s="13"/>
      <c r="S2078" s="13"/>
      <c r="T2078" s="13"/>
      <c r="U2078" s="13"/>
      <c r="V2078" s="13"/>
      <c r="W2078" s="13"/>
      <c r="X2078" s="13"/>
      <c r="Y2078" s="13"/>
      <c r="Z2078" s="13"/>
      <c r="AA2078" s="13"/>
      <c r="AB2078" s="13"/>
      <c r="AC2078" s="13"/>
      <c r="AD2078" s="13"/>
      <c r="AE2078" s="13"/>
      <c r="AF2078" s="13"/>
      <c r="AG2078" s="13"/>
    </row>
    <row r="2079" spans="1:33" s="14" customFormat="1" ht="15" customHeight="1">
      <c r="A2079" s="10">
        <v>43131</v>
      </c>
      <c r="B2079" s="3" t="s">
        <v>263</v>
      </c>
      <c r="C2079" s="15" t="s">
        <v>46</v>
      </c>
      <c r="D2079" s="15">
        <v>110</v>
      </c>
      <c r="E2079" s="11">
        <v>6000</v>
      </c>
      <c r="F2079" s="3" t="s">
        <v>8</v>
      </c>
      <c r="G2079" s="46">
        <v>4.5999999999999996</v>
      </c>
      <c r="H2079" s="3">
        <v>5</v>
      </c>
      <c r="I2079" s="46">
        <v>5.5</v>
      </c>
      <c r="J2079" s="55">
        <v>0</v>
      </c>
      <c r="K2079" s="1">
        <f t="shared" ref="K2079" si="2975">(IF(F2079="SELL",G2079-H2079,IF(F2079="BUY",H2079-G2079)))*E2079</f>
        <v>2400.0000000000023</v>
      </c>
      <c r="L2079" s="51">
        <f t="shared" ref="L2079" si="2976">(IF(F2079="SELL",IF(I2079="",0,H2079-I2079),IF(F2079="BUY",IF(I2079="",0,I2079-H2079))))*E2079</f>
        <v>3000</v>
      </c>
      <c r="M2079" s="52">
        <v>0</v>
      </c>
      <c r="N2079" s="2">
        <f t="shared" si="2966"/>
        <v>0.90000000000000036</v>
      </c>
      <c r="O2079" s="2">
        <f t="shared" si="2900"/>
        <v>5400.0000000000018</v>
      </c>
      <c r="P2079" s="13"/>
      <c r="Q2079" s="13"/>
      <c r="R2079" s="13"/>
      <c r="S2079" s="13"/>
      <c r="T2079" s="13"/>
      <c r="U2079" s="13"/>
      <c r="V2079" s="13"/>
      <c r="W2079" s="13"/>
      <c r="X2079" s="13"/>
      <c r="Y2079" s="13"/>
      <c r="Z2079" s="13"/>
      <c r="AA2079" s="13"/>
      <c r="AB2079" s="13"/>
      <c r="AC2079" s="13"/>
      <c r="AD2079" s="13"/>
      <c r="AE2079" s="13"/>
      <c r="AF2079" s="13"/>
      <c r="AG2079" s="13"/>
    </row>
    <row r="2080" spans="1:33" s="14" customFormat="1" ht="15" customHeight="1">
      <c r="A2080" s="10">
        <v>43125</v>
      </c>
      <c r="B2080" s="3" t="s">
        <v>239</v>
      </c>
      <c r="C2080" s="15" t="s">
        <v>47</v>
      </c>
      <c r="D2080" s="15">
        <v>270</v>
      </c>
      <c r="E2080" s="11">
        <v>5000</v>
      </c>
      <c r="F2080" s="3" t="s">
        <v>8</v>
      </c>
      <c r="G2080" s="46">
        <v>6.9</v>
      </c>
      <c r="H2080" s="3">
        <v>7.4</v>
      </c>
      <c r="I2080" s="46">
        <v>0</v>
      </c>
      <c r="J2080" s="55">
        <v>0</v>
      </c>
      <c r="K2080" s="1">
        <f t="shared" ref="K2080" si="2977">(IF(F2080="SELL",G2080-H2080,IF(F2080="BUY",H2080-G2080)))*E2080</f>
        <v>2500</v>
      </c>
      <c r="L2080" s="51">
        <v>0</v>
      </c>
      <c r="M2080" s="52">
        <v>0</v>
      </c>
      <c r="N2080" s="2">
        <f t="shared" si="2966"/>
        <v>0.5</v>
      </c>
      <c r="O2080" s="2">
        <f t="shared" ref="O2080:O2143" si="2978">N2080*E2080</f>
        <v>2500</v>
      </c>
      <c r="P2080" s="13"/>
      <c r="Q2080" s="13"/>
      <c r="R2080" s="13"/>
      <c r="S2080" s="13"/>
      <c r="T2080" s="13"/>
      <c r="U2080" s="13"/>
      <c r="V2080" s="13"/>
      <c r="W2080" s="13"/>
      <c r="X2080" s="13"/>
      <c r="Y2080" s="13"/>
      <c r="Z2080" s="13"/>
      <c r="AA2080" s="13"/>
      <c r="AB2080" s="13"/>
      <c r="AC2080" s="13"/>
      <c r="AD2080" s="13"/>
      <c r="AE2080" s="13"/>
      <c r="AF2080" s="13"/>
      <c r="AG2080" s="13"/>
    </row>
    <row r="2081" spans="1:33" s="14" customFormat="1" ht="15" customHeight="1">
      <c r="A2081" s="10">
        <v>43130</v>
      </c>
      <c r="B2081" s="3" t="s">
        <v>198</v>
      </c>
      <c r="C2081" s="15" t="s">
        <v>47</v>
      </c>
      <c r="D2081" s="15">
        <v>330</v>
      </c>
      <c r="E2081" s="11">
        <v>3000</v>
      </c>
      <c r="F2081" s="3" t="s">
        <v>8</v>
      </c>
      <c r="G2081" s="46">
        <v>8</v>
      </c>
      <c r="H2081" s="3">
        <v>8.6999999999999993</v>
      </c>
      <c r="I2081" s="46">
        <v>0</v>
      </c>
      <c r="J2081" s="55">
        <v>0</v>
      </c>
      <c r="K2081" s="1">
        <f t="shared" ref="K2081" si="2979">(IF(F2081="SELL",G2081-H2081,IF(F2081="BUY",H2081-G2081)))*E2081</f>
        <v>2099.9999999999977</v>
      </c>
      <c r="L2081" s="51">
        <v>0</v>
      </c>
      <c r="M2081" s="52">
        <v>0</v>
      </c>
      <c r="N2081" s="2">
        <f t="shared" si="2966"/>
        <v>0.69999999999999929</v>
      </c>
      <c r="O2081" s="2">
        <f t="shared" si="2978"/>
        <v>2099.9999999999977</v>
      </c>
      <c r="P2081" s="13"/>
      <c r="Q2081" s="13"/>
      <c r="R2081" s="13"/>
      <c r="S2081" s="13"/>
      <c r="T2081" s="13"/>
      <c r="U2081" s="13"/>
      <c r="V2081" s="13"/>
      <c r="W2081" s="13"/>
      <c r="X2081" s="13"/>
      <c r="Y2081" s="13"/>
      <c r="Z2081" s="13"/>
      <c r="AA2081" s="13"/>
      <c r="AB2081" s="13"/>
      <c r="AC2081" s="13"/>
      <c r="AD2081" s="13"/>
      <c r="AE2081" s="13"/>
      <c r="AF2081" s="13"/>
      <c r="AG2081" s="13"/>
    </row>
    <row r="2082" spans="1:33" s="14" customFormat="1" ht="15" customHeight="1">
      <c r="A2082" s="10">
        <v>43129</v>
      </c>
      <c r="B2082" s="3" t="s">
        <v>272</v>
      </c>
      <c r="C2082" s="15" t="s">
        <v>47</v>
      </c>
      <c r="D2082" s="15">
        <v>150</v>
      </c>
      <c r="E2082" s="11">
        <v>9000</v>
      </c>
      <c r="F2082" s="3" t="s">
        <v>8</v>
      </c>
      <c r="G2082" s="46">
        <v>8.5</v>
      </c>
      <c r="H2082" s="3">
        <v>8.9</v>
      </c>
      <c r="I2082" s="46">
        <v>9.5</v>
      </c>
      <c r="J2082" s="55">
        <v>0</v>
      </c>
      <c r="K2082" s="1">
        <f t="shared" ref="K2082" si="2980">(IF(F2082="SELL",G2082-H2082,IF(F2082="BUY",H2082-G2082)))*E2082</f>
        <v>3600.0000000000032</v>
      </c>
      <c r="L2082" s="51">
        <f t="shared" ref="L2082" si="2981">(IF(F2082="SELL",IF(I2082="",0,H2082-I2082),IF(F2082="BUY",IF(I2082="",0,I2082-H2082))))*E2082</f>
        <v>5399.9999999999964</v>
      </c>
      <c r="M2082" s="52">
        <v>0</v>
      </c>
      <c r="N2082" s="2">
        <f t="shared" si="2966"/>
        <v>1</v>
      </c>
      <c r="O2082" s="2">
        <f t="shared" si="2978"/>
        <v>9000</v>
      </c>
      <c r="P2082" s="13"/>
      <c r="Q2082" s="13"/>
      <c r="R2082" s="13"/>
      <c r="S2082" s="13"/>
      <c r="T2082" s="13"/>
      <c r="U2082" s="13"/>
      <c r="V2082" s="13"/>
      <c r="W2082" s="13"/>
      <c r="X2082" s="13"/>
      <c r="Y2082" s="13"/>
      <c r="Z2082" s="13"/>
      <c r="AA2082" s="13"/>
      <c r="AB2082" s="13"/>
      <c r="AC2082" s="13"/>
      <c r="AD2082" s="13"/>
      <c r="AE2082" s="13"/>
      <c r="AF2082" s="13"/>
      <c r="AG2082" s="13"/>
    </row>
    <row r="2083" spans="1:33" s="14" customFormat="1" ht="15" customHeight="1">
      <c r="A2083" s="10">
        <v>43125</v>
      </c>
      <c r="B2083" s="3" t="s">
        <v>271</v>
      </c>
      <c r="C2083" s="15" t="s">
        <v>47</v>
      </c>
      <c r="D2083" s="15">
        <v>820</v>
      </c>
      <c r="E2083" s="11">
        <v>1100</v>
      </c>
      <c r="F2083" s="3" t="s">
        <v>8</v>
      </c>
      <c r="G2083" s="46">
        <v>16</v>
      </c>
      <c r="H2083" s="3">
        <v>18</v>
      </c>
      <c r="I2083" s="46">
        <v>21</v>
      </c>
      <c r="J2083" s="55">
        <v>0</v>
      </c>
      <c r="K2083" s="1">
        <f t="shared" ref="K2083" si="2982">(IF(F2083="SELL",G2083-H2083,IF(F2083="BUY",H2083-G2083)))*E2083</f>
        <v>2200</v>
      </c>
      <c r="L2083" s="51">
        <f t="shared" ref="L2083" si="2983">(IF(F2083="SELL",IF(I2083="",0,H2083-I2083),IF(F2083="BUY",IF(I2083="",0,I2083-H2083))))*E2083</f>
        <v>3300</v>
      </c>
      <c r="M2083" s="52">
        <v>0</v>
      </c>
      <c r="N2083" s="2">
        <f t="shared" si="2966"/>
        <v>5</v>
      </c>
      <c r="O2083" s="2">
        <f t="shared" si="2978"/>
        <v>5500</v>
      </c>
      <c r="P2083" s="13"/>
      <c r="Q2083" s="13"/>
      <c r="R2083" s="13"/>
      <c r="S2083" s="13"/>
      <c r="T2083" s="13"/>
      <c r="U2083" s="13"/>
      <c r="V2083" s="13"/>
      <c r="W2083" s="13"/>
      <c r="X2083" s="13"/>
      <c r="Y2083" s="13"/>
      <c r="Z2083" s="13"/>
      <c r="AA2083" s="13"/>
      <c r="AB2083" s="13"/>
      <c r="AC2083" s="13"/>
      <c r="AD2083" s="13"/>
      <c r="AE2083" s="13"/>
      <c r="AF2083" s="13"/>
      <c r="AG2083" s="13"/>
    </row>
    <row r="2084" spans="1:33" s="14" customFormat="1" ht="15" customHeight="1">
      <c r="A2084" s="10">
        <v>43145</v>
      </c>
      <c r="B2084" s="3" t="s">
        <v>273</v>
      </c>
      <c r="C2084" s="15" t="s">
        <v>47</v>
      </c>
      <c r="D2084" s="15">
        <v>140</v>
      </c>
      <c r="E2084" s="11">
        <v>7000</v>
      </c>
      <c r="F2084" s="3" t="s">
        <v>8</v>
      </c>
      <c r="G2084" s="46">
        <v>2.2999999999999998</v>
      </c>
      <c r="H2084" s="3">
        <v>2.7</v>
      </c>
      <c r="I2084" s="46">
        <v>0</v>
      </c>
      <c r="J2084" s="55">
        <v>0</v>
      </c>
      <c r="K2084" s="1">
        <f t="shared" ref="K2084" si="2984">(IF(F2084="SELL",G2084-H2084,IF(F2084="BUY",H2084-G2084)))*E2084</f>
        <v>2800.0000000000023</v>
      </c>
      <c r="L2084" s="51">
        <v>0</v>
      </c>
      <c r="M2084" s="52">
        <v>0</v>
      </c>
      <c r="N2084" s="2">
        <f t="shared" si="2966"/>
        <v>0.4000000000000003</v>
      </c>
      <c r="O2084" s="2">
        <f t="shared" si="2978"/>
        <v>2800.0000000000023</v>
      </c>
      <c r="P2084" s="13"/>
      <c r="Q2084" s="13"/>
      <c r="R2084" s="13"/>
      <c r="S2084" s="13"/>
      <c r="T2084" s="13"/>
      <c r="U2084" s="13"/>
      <c r="V2084" s="13"/>
      <c r="W2084" s="13"/>
      <c r="X2084" s="13"/>
      <c r="Y2084" s="13"/>
      <c r="Z2084" s="13"/>
      <c r="AA2084" s="13"/>
      <c r="AB2084" s="13"/>
      <c r="AC2084" s="13"/>
      <c r="AD2084" s="13"/>
      <c r="AE2084" s="13"/>
      <c r="AF2084" s="13"/>
      <c r="AG2084" s="13"/>
    </row>
    <row r="2085" spans="1:33" s="14" customFormat="1" ht="15" customHeight="1">
      <c r="A2085" s="10">
        <v>43145</v>
      </c>
      <c r="B2085" s="3" t="s">
        <v>261</v>
      </c>
      <c r="C2085" s="15" t="s">
        <v>47</v>
      </c>
      <c r="D2085" s="15">
        <v>120</v>
      </c>
      <c r="E2085" s="11">
        <v>4500</v>
      </c>
      <c r="F2085" s="3" t="s">
        <v>8</v>
      </c>
      <c r="G2085" s="46">
        <v>3.3</v>
      </c>
      <c r="H2085" s="3">
        <v>3.7</v>
      </c>
      <c r="I2085" s="46">
        <v>0</v>
      </c>
      <c r="J2085" s="55">
        <v>0</v>
      </c>
      <c r="K2085" s="1">
        <f t="shared" ref="K2085" si="2985">(IF(F2085="SELL",G2085-H2085,IF(F2085="BUY",H2085-G2085)))*E2085</f>
        <v>1800.0000000000016</v>
      </c>
      <c r="L2085" s="51">
        <v>0</v>
      </c>
      <c r="M2085" s="52">
        <v>0</v>
      </c>
      <c r="N2085" s="2">
        <f t="shared" si="2966"/>
        <v>0.40000000000000036</v>
      </c>
      <c r="O2085" s="2">
        <f t="shared" si="2978"/>
        <v>1800.0000000000016</v>
      </c>
      <c r="P2085" s="13"/>
      <c r="Q2085" s="13"/>
      <c r="R2085" s="13"/>
      <c r="S2085" s="13"/>
      <c r="T2085" s="13"/>
      <c r="U2085" s="13"/>
      <c r="V2085" s="13"/>
      <c r="W2085" s="13"/>
      <c r="X2085" s="13"/>
      <c r="Y2085" s="13"/>
      <c r="Z2085" s="13"/>
      <c r="AA2085" s="13"/>
      <c r="AB2085" s="13"/>
      <c r="AC2085" s="13"/>
      <c r="AD2085" s="13"/>
      <c r="AE2085" s="13"/>
      <c r="AF2085" s="13"/>
      <c r="AG2085" s="13"/>
    </row>
    <row r="2086" spans="1:33" s="14" customFormat="1" ht="15" customHeight="1">
      <c r="A2086" s="10">
        <v>43143</v>
      </c>
      <c r="B2086" s="3" t="s">
        <v>232</v>
      </c>
      <c r="C2086" s="15" t="s">
        <v>47</v>
      </c>
      <c r="D2086" s="15">
        <v>460</v>
      </c>
      <c r="E2086" s="11">
        <v>1000</v>
      </c>
      <c r="F2086" s="3" t="s">
        <v>8</v>
      </c>
      <c r="G2086" s="46">
        <v>22</v>
      </c>
      <c r="H2086" s="3">
        <v>24</v>
      </c>
      <c r="I2086" s="46">
        <v>0</v>
      </c>
      <c r="J2086" s="55">
        <v>0</v>
      </c>
      <c r="K2086" s="1">
        <f t="shared" ref="K2086" si="2986">(IF(F2086="SELL",G2086-H2086,IF(F2086="BUY",H2086-G2086)))*E2086</f>
        <v>2000</v>
      </c>
      <c r="L2086" s="51">
        <v>0</v>
      </c>
      <c r="M2086" s="52">
        <v>0</v>
      </c>
      <c r="N2086" s="2">
        <f t="shared" si="2966"/>
        <v>2</v>
      </c>
      <c r="O2086" s="2">
        <f t="shared" si="2978"/>
        <v>2000</v>
      </c>
      <c r="P2086" s="13"/>
      <c r="Q2086" s="13"/>
      <c r="R2086" s="13"/>
      <c r="S2086" s="13"/>
      <c r="T2086" s="13"/>
      <c r="U2086" s="13"/>
      <c r="V2086" s="13"/>
      <c r="W2086" s="13"/>
      <c r="X2086" s="13"/>
      <c r="Y2086" s="13"/>
      <c r="Z2086" s="13"/>
      <c r="AA2086" s="13"/>
      <c r="AB2086" s="13"/>
      <c r="AC2086" s="13"/>
      <c r="AD2086" s="13"/>
      <c r="AE2086" s="13"/>
      <c r="AF2086" s="13"/>
      <c r="AG2086" s="13"/>
    </row>
    <row r="2087" spans="1:33" s="14" customFormat="1" ht="15" customHeight="1">
      <c r="A2087" s="10">
        <v>43140</v>
      </c>
      <c r="B2087" s="3" t="s">
        <v>26</v>
      </c>
      <c r="C2087" s="15" t="s">
        <v>47</v>
      </c>
      <c r="D2087" s="15">
        <v>700</v>
      </c>
      <c r="E2087" s="11">
        <v>1000</v>
      </c>
      <c r="F2087" s="3" t="s">
        <v>8</v>
      </c>
      <c r="G2087" s="46">
        <v>17</v>
      </c>
      <c r="H2087" s="3">
        <v>0</v>
      </c>
      <c r="I2087" s="46">
        <v>0</v>
      </c>
      <c r="J2087" s="55">
        <v>0</v>
      </c>
      <c r="K2087" s="1">
        <v>0</v>
      </c>
      <c r="L2087" s="51">
        <v>0</v>
      </c>
      <c r="M2087" s="52">
        <v>0</v>
      </c>
      <c r="N2087" s="2">
        <f t="shared" si="2966"/>
        <v>0</v>
      </c>
      <c r="O2087" s="2">
        <f t="shared" si="2978"/>
        <v>0</v>
      </c>
      <c r="P2087" s="13"/>
      <c r="Q2087" s="13"/>
      <c r="R2087" s="13"/>
      <c r="S2087" s="13"/>
      <c r="T2087" s="13"/>
      <c r="U2087" s="13"/>
      <c r="V2087" s="13"/>
      <c r="W2087" s="13"/>
      <c r="X2087" s="13"/>
      <c r="Y2087" s="13"/>
      <c r="Z2087" s="13"/>
      <c r="AA2087" s="13"/>
      <c r="AB2087" s="13"/>
      <c r="AC2087" s="13"/>
      <c r="AD2087" s="13"/>
      <c r="AE2087" s="13"/>
      <c r="AF2087" s="13"/>
      <c r="AG2087" s="13"/>
    </row>
    <row r="2088" spans="1:33" s="14" customFormat="1" ht="15" customHeight="1">
      <c r="A2088" s="10">
        <v>43138</v>
      </c>
      <c r="B2088" s="3" t="s">
        <v>167</v>
      </c>
      <c r="C2088" s="15" t="s">
        <v>47</v>
      </c>
      <c r="D2088" s="15">
        <v>1040</v>
      </c>
      <c r="E2088" s="11">
        <v>1000</v>
      </c>
      <c r="F2088" s="3" t="s">
        <v>8</v>
      </c>
      <c r="G2088" s="46">
        <v>18</v>
      </c>
      <c r="H2088" s="3">
        <v>12</v>
      </c>
      <c r="I2088" s="46">
        <v>0</v>
      </c>
      <c r="J2088" s="55">
        <v>0</v>
      </c>
      <c r="K2088" s="1">
        <f t="shared" ref="K2088:K2089" si="2987">(IF(F2088="SELL",G2088-H2088,IF(F2088="BUY",H2088-G2088)))*E2088</f>
        <v>-6000</v>
      </c>
      <c r="L2088" s="51">
        <v>0</v>
      </c>
      <c r="M2088" s="52">
        <v>0</v>
      </c>
      <c r="N2088" s="2">
        <f t="shared" si="2966"/>
        <v>-6</v>
      </c>
      <c r="O2088" s="2">
        <f t="shared" si="2978"/>
        <v>-6000</v>
      </c>
      <c r="P2088" s="13"/>
      <c r="Q2088" s="13"/>
      <c r="R2088" s="13"/>
      <c r="S2088" s="13"/>
      <c r="T2088" s="13"/>
      <c r="U2088" s="13"/>
      <c r="V2088" s="13"/>
      <c r="W2088" s="13"/>
      <c r="X2088" s="13"/>
      <c r="Y2088" s="13"/>
      <c r="Z2088" s="13"/>
      <c r="AA2088" s="13"/>
      <c r="AB2088" s="13"/>
      <c r="AC2088" s="13"/>
      <c r="AD2088" s="13"/>
      <c r="AE2088" s="13"/>
      <c r="AF2088" s="13"/>
      <c r="AG2088" s="13"/>
    </row>
    <row r="2089" spans="1:33" s="14" customFormat="1" ht="15" customHeight="1">
      <c r="A2089" s="10">
        <v>43136</v>
      </c>
      <c r="B2089" s="3" t="s">
        <v>196</v>
      </c>
      <c r="C2089" s="15" t="s">
        <v>47</v>
      </c>
      <c r="D2089" s="15">
        <v>630</v>
      </c>
      <c r="E2089" s="11">
        <v>1200</v>
      </c>
      <c r="F2089" s="3" t="s">
        <v>8</v>
      </c>
      <c r="G2089" s="46">
        <v>18</v>
      </c>
      <c r="H2089" s="3">
        <v>20</v>
      </c>
      <c r="I2089" s="46">
        <v>0</v>
      </c>
      <c r="J2089" s="55">
        <v>0</v>
      </c>
      <c r="K2089" s="1">
        <f t="shared" si="2987"/>
        <v>2400</v>
      </c>
      <c r="L2089" s="51">
        <v>0</v>
      </c>
      <c r="M2089" s="52">
        <v>0</v>
      </c>
      <c r="N2089" s="2">
        <f t="shared" si="2966"/>
        <v>2</v>
      </c>
      <c r="O2089" s="2">
        <f t="shared" si="2978"/>
        <v>2400</v>
      </c>
      <c r="P2089" s="13"/>
      <c r="Q2089" s="13"/>
      <c r="R2089" s="13"/>
      <c r="S2089" s="13"/>
      <c r="T2089" s="13"/>
      <c r="U2089" s="13"/>
      <c r="V2089" s="13"/>
      <c r="W2089" s="13"/>
      <c r="X2089" s="13"/>
      <c r="Y2089" s="13"/>
      <c r="Z2089" s="13"/>
      <c r="AA2089" s="13"/>
      <c r="AB2089" s="13"/>
      <c r="AC2089" s="13"/>
      <c r="AD2089" s="13"/>
      <c r="AE2089" s="13"/>
      <c r="AF2089" s="13"/>
      <c r="AG2089" s="13"/>
    </row>
    <row r="2090" spans="1:33" s="14" customFormat="1" ht="15" customHeight="1">
      <c r="A2090" s="10">
        <v>43132</v>
      </c>
      <c r="B2090" s="3" t="s">
        <v>169</v>
      </c>
      <c r="C2090" s="15" t="s">
        <v>46</v>
      </c>
      <c r="D2090" s="15">
        <v>1000</v>
      </c>
      <c r="E2090" s="11">
        <v>6000</v>
      </c>
      <c r="F2090" s="3" t="s">
        <v>8</v>
      </c>
      <c r="G2090" s="46">
        <v>30.65</v>
      </c>
      <c r="H2090" s="3">
        <v>0</v>
      </c>
      <c r="I2090" s="46">
        <v>0</v>
      </c>
      <c r="J2090" s="55">
        <v>0</v>
      </c>
      <c r="K2090" s="1">
        <v>0</v>
      </c>
      <c r="L2090" s="51">
        <f t="shared" ref="L2090" si="2988">(IF(F2090="SELL",IF(I2090="",0,H2090-I2090),IF(F2090="BUY",IF(I2090="",0,I2090-H2090))))*E2090</f>
        <v>0</v>
      </c>
      <c r="M2090" s="52">
        <v>0</v>
      </c>
      <c r="N2090" s="2">
        <f t="shared" si="2966"/>
        <v>0</v>
      </c>
      <c r="O2090" s="2">
        <f t="shared" si="2978"/>
        <v>0</v>
      </c>
      <c r="P2090" s="13"/>
      <c r="Q2090" s="13"/>
      <c r="R2090" s="13"/>
      <c r="S2090" s="13"/>
      <c r="T2090" s="13"/>
      <c r="U2090" s="13"/>
      <c r="V2090" s="13"/>
      <c r="W2090" s="13"/>
      <c r="X2090" s="13"/>
      <c r="Y2090" s="13"/>
      <c r="Z2090" s="13"/>
      <c r="AA2090" s="13"/>
      <c r="AB2090" s="13"/>
      <c r="AC2090" s="13"/>
      <c r="AD2090" s="13"/>
      <c r="AE2090" s="13"/>
      <c r="AF2090" s="13"/>
      <c r="AG2090" s="13"/>
    </row>
    <row r="2091" spans="1:33" s="14" customFormat="1" ht="15" customHeight="1">
      <c r="A2091" s="10">
        <v>43131</v>
      </c>
      <c r="B2091" s="3" t="s">
        <v>263</v>
      </c>
      <c r="C2091" s="15" t="s">
        <v>46</v>
      </c>
      <c r="D2091" s="15">
        <v>110</v>
      </c>
      <c r="E2091" s="11">
        <v>6000</v>
      </c>
      <c r="F2091" s="3" t="s">
        <v>8</v>
      </c>
      <c r="G2091" s="46">
        <v>4.5999999999999996</v>
      </c>
      <c r="H2091" s="3">
        <v>5</v>
      </c>
      <c r="I2091" s="46">
        <v>5.5</v>
      </c>
      <c r="J2091" s="55">
        <v>0</v>
      </c>
      <c r="K2091" s="1">
        <f t="shared" ref="K2091" si="2989">(IF(F2091="SELL",G2091-H2091,IF(F2091="BUY",H2091-G2091)))*E2091</f>
        <v>2400.0000000000023</v>
      </c>
      <c r="L2091" s="51">
        <f t="shared" ref="L2091" si="2990">(IF(F2091="SELL",IF(I2091="",0,H2091-I2091),IF(F2091="BUY",IF(I2091="",0,I2091-H2091))))*E2091</f>
        <v>3000</v>
      </c>
      <c r="M2091" s="52">
        <v>0</v>
      </c>
      <c r="N2091" s="2">
        <f t="shared" si="2966"/>
        <v>0.90000000000000036</v>
      </c>
      <c r="O2091" s="2">
        <f t="shared" si="2978"/>
        <v>5400.0000000000018</v>
      </c>
      <c r="P2091" s="13"/>
      <c r="Q2091" s="13"/>
      <c r="R2091" s="13"/>
      <c r="S2091" s="13"/>
      <c r="T2091" s="13"/>
      <c r="U2091" s="13"/>
      <c r="V2091" s="13"/>
      <c r="W2091" s="13"/>
      <c r="X2091" s="13"/>
      <c r="Y2091" s="13"/>
      <c r="Z2091" s="13"/>
      <c r="AA2091" s="13"/>
      <c r="AB2091" s="13"/>
      <c r="AC2091" s="13"/>
      <c r="AD2091" s="13"/>
      <c r="AE2091" s="13"/>
      <c r="AF2091" s="13"/>
      <c r="AG2091" s="13"/>
    </row>
    <row r="2092" spans="1:33" s="14" customFormat="1" ht="15" customHeight="1">
      <c r="A2092" s="10">
        <v>43131</v>
      </c>
      <c r="B2092" s="3" t="s">
        <v>239</v>
      </c>
      <c r="C2092" s="15" t="s">
        <v>47</v>
      </c>
      <c r="D2092" s="15">
        <v>270</v>
      </c>
      <c r="E2092" s="11">
        <v>5000</v>
      </c>
      <c r="F2092" s="3" t="s">
        <v>8</v>
      </c>
      <c r="G2092" s="46">
        <v>6.9</v>
      </c>
      <c r="H2092" s="3">
        <v>7.4</v>
      </c>
      <c r="I2092" s="46">
        <v>0</v>
      </c>
      <c r="J2092" s="55">
        <v>0</v>
      </c>
      <c r="K2092" s="1">
        <f t="shared" ref="K2092" si="2991">(IF(F2092="SELL",G2092-H2092,IF(F2092="BUY",H2092-G2092)))*E2092</f>
        <v>2500</v>
      </c>
      <c r="L2092" s="51">
        <v>0</v>
      </c>
      <c r="M2092" s="52">
        <v>0</v>
      </c>
      <c r="N2092" s="2">
        <f t="shared" si="2966"/>
        <v>0.5</v>
      </c>
      <c r="O2092" s="2">
        <f t="shared" si="2978"/>
        <v>2500</v>
      </c>
      <c r="P2092" s="13"/>
      <c r="Q2092" s="13"/>
      <c r="R2092" s="13"/>
      <c r="S2092" s="13"/>
      <c r="T2092" s="13"/>
      <c r="U2092" s="13"/>
      <c r="V2092" s="13"/>
      <c r="W2092" s="13"/>
      <c r="X2092" s="13"/>
      <c r="Y2092" s="13"/>
      <c r="Z2092" s="13"/>
      <c r="AA2092" s="13"/>
      <c r="AB2092" s="13"/>
      <c r="AC2092" s="13"/>
      <c r="AD2092" s="13"/>
      <c r="AE2092" s="13"/>
      <c r="AF2092" s="13"/>
      <c r="AG2092" s="13"/>
    </row>
    <row r="2093" spans="1:33" s="14" customFormat="1" ht="15" customHeight="1">
      <c r="A2093" s="10">
        <v>43130</v>
      </c>
      <c r="B2093" s="3" t="s">
        <v>198</v>
      </c>
      <c r="C2093" s="15" t="s">
        <v>47</v>
      </c>
      <c r="D2093" s="15">
        <v>330</v>
      </c>
      <c r="E2093" s="11">
        <v>3000</v>
      </c>
      <c r="F2093" s="3" t="s">
        <v>8</v>
      </c>
      <c r="G2093" s="46">
        <v>8</v>
      </c>
      <c r="H2093" s="3">
        <v>8.6999999999999993</v>
      </c>
      <c r="I2093" s="46">
        <v>0</v>
      </c>
      <c r="J2093" s="55">
        <v>0</v>
      </c>
      <c r="K2093" s="1">
        <f t="shared" ref="K2093" si="2992">(IF(F2093="SELL",G2093-H2093,IF(F2093="BUY",H2093-G2093)))*E2093</f>
        <v>2099.9999999999977</v>
      </c>
      <c r="L2093" s="51">
        <v>0</v>
      </c>
      <c r="M2093" s="52">
        <v>0</v>
      </c>
      <c r="N2093" s="2">
        <f t="shared" si="2966"/>
        <v>0.69999999999999929</v>
      </c>
      <c r="O2093" s="2">
        <f t="shared" si="2978"/>
        <v>2099.9999999999977</v>
      </c>
      <c r="P2093" s="13"/>
      <c r="Q2093" s="13"/>
      <c r="R2093" s="13"/>
      <c r="S2093" s="13"/>
      <c r="T2093" s="13"/>
      <c r="U2093" s="13"/>
      <c r="V2093" s="13"/>
      <c r="W2093" s="13"/>
      <c r="X2093" s="13"/>
      <c r="Y2093" s="13"/>
      <c r="Z2093" s="13"/>
      <c r="AA2093" s="13"/>
      <c r="AB2093" s="13"/>
      <c r="AC2093" s="13"/>
      <c r="AD2093" s="13"/>
      <c r="AE2093" s="13"/>
      <c r="AF2093" s="13"/>
      <c r="AG2093" s="13"/>
    </row>
    <row r="2094" spans="1:33" s="14" customFormat="1" ht="15" customHeight="1">
      <c r="A2094" s="10">
        <v>43129</v>
      </c>
      <c r="B2094" s="3" t="s">
        <v>272</v>
      </c>
      <c r="C2094" s="15" t="s">
        <v>47</v>
      </c>
      <c r="D2094" s="15">
        <v>150</v>
      </c>
      <c r="E2094" s="11">
        <v>9000</v>
      </c>
      <c r="F2094" s="3" t="s">
        <v>8</v>
      </c>
      <c r="G2094" s="46">
        <v>8.5</v>
      </c>
      <c r="H2094" s="3">
        <v>8.9</v>
      </c>
      <c r="I2094" s="46">
        <v>9.5</v>
      </c>
      <c r="J2094" s="55">
        <v>0</v>
      </c>
      <c r="K2094" s="1">
        <f t="shared" ref="K2094" si="2993">(IF(F2094="SELL",G2094-H2094,IF(F2094="BUY",H2094-G2094)))*E2094</f>
        <v>3600.0000000000032</v>
      </c>
      <c r="L2094" s="51">
        <f t="shared" ref="L2094" si="2994">(IF(F2094="SELL",IF(I2094="",0,H2094-I2094),IF(F2094="BUY",IF(I2094="",0,I2094-H2094))))*E2094</f>
        <v>5399.9999999999964</v>
      </c>
      <c r="M2094" s="52">
        <v>0</v>
      </c>
      <c r="N2094" s="2">
        <f t="shared" si="2966"/>
        <v>1</v>
      </c>
      <c r="O2094" s="2">
        <f t="shared" si="2978"/>
        <v>9000</v>
      </c>
      <c r="P2094" s="13"/>
      <c r="Q2094" s="13"/>
      <c r="R2094" s="13"/>
      <c r="S2094" s="13"/>
      <c r="T2094" s="13"/>
      <c r="U2094" s="13"/>
      <c r="V2094" s="13"/>
      <c r="W2094" s="13"/>
      <c r="X2094" s="13"/>
      <c r="Y2094" s="13"/>
      <c r="Z2094" s="13"/>
      <c r="AA2094" s="13"/>
      <c r="AB2094" s="13"/>
      <c r="AC2094" s="13"/>
      <c r="AD2094" s="13"/>
      <c r="AE2094" s="13"/>
      <c r="AF2094" s="13"/>
      <c r="AG2094" s="13"/>
    </row>
    <row r="2095" spans="1:33" s="14" customFormat="1" ht="15" customHeight="1">
      <c r="A2095" s="10">
        <v>43125</v>
      </c>
      <c r="B2095" s="3" t="s">
        <v>271</v>
      </c>
      <c r="C2095" s="15" t="s">
        <v>47</v>
      </c>
      <c r="D2095" s="15">
        <v>840</v>
      </c>
      <c r="E2095" s="11">
        <v>1100</v>
      </c>
      <c r="F2095" s="3" t="s">
        <v>8</v>
      </c>
      <c r="G2095" s="46">
        <v>6</v>
      </c>
      <c r="H2095" s="3">
        <v>8</v>
      </c>
      <c r="I2095" s="46">
        <v>10</v>
      </c>
      <c r="J2095" s="55">
        <v>12</v>
      </c>
      <c r="K2095" s="1">
        <f t="shared" ref="K2095" si="2995">(IF(F2095="SELL",G2095-H2095,IF(F2095="BUY",H2095-G2095)))*E2095</f>
        <v>2200</v>
      </c>
      <c r="L2095" s="51">
        <f t="shared" ref="L2095" si="2996">(IF(F2095="SELL",IF(I2095="",0,H2095-I2095),IF(F2095="BUY",IF(I2095="",0,I2095-H2095))))*E2095</f>
        <v>2200</v>
      </c>
      <c r="M2095" s="52">
        <f>(IF(F2095="SELL",IF(J2095="",0,I2095-J2095),IF(F2095="BUY",IF(J2095="",0,(J2095-I2095)))))*E2095</f>
        <v>2200</v>
      </c>
      <c r="N2095" s="2">
        <f t="shared" si="2966"/>
        <v>6</v>
      </c>
      <c r="O2095" s="2">
        <f t="shared" si="2978"/>
        <v>6600</v>
      </c>
      <c r="P2095" s="13"/>
      <c r="Q2095" s="13"/>
      <c r="R2095" s="13"/>
      <c r="S2095" s="13"/>
      <c r="T2095" s="13"/>
      <c r="U2095" s="13"/>
      <c r="V2095" s="13"/>
      <c r="W2095" s="13"/>
      <c r="X2095" s="13"/>
      <c r="Y2095" s="13"/>
      <c r="Z2095" s="13"/>
      <c r="AA2095" s="13"/>
      <c r="AB2095" s="13"/>
      <c r="AC2095" s="13"/>
      <c r="AD2095" s="13"/>
      <c r="AE2095" s="13"/>
      <c r="AF2095" s="13"/>
      <c r="AG2095" s="13"/>
    </row>
    <row r="2096" spans="1:33" s="14" customFormat="1" ht="15" customHeight="1">
      <c r="A2096" s="10">
        <v>43125</v>
      </c>
      <c r="B2096" s="3" t="s">
        <v>271</v>
      </c>
      <c r="C2096" s="15" t="s">
        <v>47</v>
      </c>
      <c r="D2096" s="15">
        <v>820</v>
      </c>
      <c r="E2096" s="11">
        <v>1100</v>
      </c>
      <c r="F2096" s="3" t="s">
        <v>8</v>
      </c>
      <c r="G2096" s="46">
        <v>16</v>
      </c>
      <c r="H2096" s="3">
        <v>18</v>
      </c>
      <c r="I2096" s="46">
        <v>21</v>
      </c>
      <c r="J2096" s="55">
        <v>0</v>
      </c>
      <c r="K2096" s="1">
        <f t="shared" ref="K2096" si="2997">(IF(F2096="SELL",G2096-H2096,IF(F2096="BUY",H2096-G2096)))*E2096</f>
        <v>2200</v>
      </c>
      <c r="L2096" s="51">
        <f t="shared" ref="L2096" si="2998">(IF(F2096="SELL",IF(I2096="",0,H2096-I2096),IF(F2096="BUY",IF(I2096="",0,I2096-H2096))))*E2096</f>
        <v>3300</v>
      </c>
      <c r="M2096" s="52">
        <v>0</v>
      </c>
      <c r="N2096" s="2">
        <f t="shared" si="2966"/>
        <v>5</v>
      </c>
      <c r="O2096" s="2">
        <f t="shared" si="2978"/>
        <v>5500</v>
      </c>
      <c r="P2096" s="13"/>
      <c r="Q2096" s="13"/>
      <c r="R2096" s="13"/>
      <c r="S2096" s="13"/>
      <c r="T2096" s="13"/>
      <c r="U2096" s="13"/>
      <c r="V2096" s="13"/>
      <c r="W2096" s="13"/>
      <c r="X2096" s="13"/>
      <c r="Y2096" s="13"/>
      <c r="Z2096" s="13"/>
      <c r="AA2096" s="13"/>
      <c r="AB2096" s="13"/>
      <c r="AC2096" s="13"/>
      <c r="AD2096" s="13"/>
      <c r="AE2096" s="13"/>
      <c r="AF2096" s="13"/>
      <c r="AG2096" s="13"/>
    </row>
    <row r="2097" spans="1:33" s="14" customFormat="1" ht="15" customHeight="1">
      <c r="A2097" s="10">
        <v>43124</v>
      </c>
      <c r="B2097" s="3" t="s">
        <v>271</v>
      </c>
      <c r="C2097" s="15" t="s">
        <v>47</v>
      </c>
      <c r="D2097" s="15">
        <v>820</v>
      </c>
      <c r="E2097" s="11">
        <v>1100</v>
      </c>
      <c r="F2097" s="3" t="s">
        <v>8</v>
      </c>
      <c r="G2097" s="46">
        <v>14</v>
      </c>
      <c r="H2097" s="3">
        <v>16</v>
      </c>
      <c r="I2097" s="46">
        <v>17.850000000000001</v>
      </c>
      <c r="J2097" s="55">
        <v>0</v>
      </c>
      <c r="K2097" s="1">
        <f t="shared" ref="K2097" si="2999">(IF(F2097="SELL",G2097-H2097,IF(F2097="BUY",H2097-G2097)))*E2097</f>
        <v>2200</v>
      </c>
      <c r="L2097" s="51">
        <f t="shared" ref="L2097:L2099" si="3000">(IF(F2097="SELL",IF(I2097="",0,H2097-I2097),IF(F2097="BUY",IF(I2097="",0,I2097-H2097))))*E2097</f>
        <v>2035.0000000000016</v>
      </c>
      <c r="M2097" s="52">
        <v>0</v>
      </c>
      <c r="N2097" s="2">
        <f t="shared" si="2966"/>
        <v>3.8500000000000019</v>
      </c>
      <c r="O2097" s="2">
        <f t="shared" si="2978"/>
        <v>4235.0000000000018</v>
      </c>
      <c r="P2097" s="13"/>
      <c r="Q2097" s="13"/>
      <c r="R2097" s="13"/>
      <c r="S2097" s="13"/>
      <c r="T2097" s="13"/>
      <c r="U2097" s="13"/>
      <c r="V2097" s="13"/>
      <c r="W2097" s="13"/>
      <c r="X2097" s="13"/>
      <c r="Y2097" s="13"/>
      <c r="Z2097" s="13"/>
      <c r="AA2097" s="13"/>
      <c r="AB2097" s="13"/>
      <c r="AC2097" s="13"/>
      <c r="AD2097" s="13"/>
      <c r="AE2097" s="13"/>
      <c r="AF2097" s="13"/>
      <c r="AG2097" s="13"/>
    </row>
    <row r="2098" spans="1:33" s="14" customFormat="1" ht="15" customHeight="1">
      <c r="A2098" s="10">
        <v>43123</v>
      </c>
      <c r="B2098" s="3" t="s">
        <v>266</v>
      </c>
      <c r="C2098" s="15" t="s">
        <v>47</v>
      </c>
      <c r="D2098" s="15">
        <v>1100</v>
      </c>
      <c r="E2098" s="11">
        <v>800</v>
      </c>
      <c r="F2098" s="3" t="s">
        <v>8</v>
      </c>
      <c r="G2098" s="46">
        <v>16</v>
      </c>
      <c r="H2098" s="3">
        <v>19</v>
      </c>
      <c r="I2098" s="46">
        <v>0</v>
      </c>
      <c r="J2098" s="55">
        <v>0</v>
      </c>
      <c r="K2098" s="1">
        <f t="shared" ref="K2098" si="3001">(IF(F2098="SELL",G2098-H2098,IF(F2098="BUY",H2098-G2098)))*E2098</f>
        <v>2400</v>
      </c>
      <c r="L2098" s="51">
        <v>0</v>
      </c>
      <c r="M2098" s="52">
        <v>0</v>
      </c>
      <c r="N2098" s="2">
        <f t="shared" si="2966"/>
        <v>3</v>
      </c>
      <c r="O2098" s="2">
        <f t="shared" si="2978"/>
        <v>2400</v>
      </c>
      <c r="P2098" s="13"/>
      <c r="Q2098" s="13"/>
      <c r="R2098" s="13"/>
      <c r="S2098" s="13"/>
      <c r="T2098" s="13"/>
      <c r="U2098" s="13"/>
      <c r="V2098" s="13"/>
      <c r="W2098" s="13"/>
      <c r="X2098" s="13"/>
      <c r="Y2098" s="13"/>
      <c r="Z2098" s="13"/>
      <c r="AA2098" s="13"/>
      <c r="AB2098" s="13"/>
      <c r="AC2098" s="13"/>
      <c r="AD2098" s="13"/>
      <c r="AE2098" s="13"/>
      <c r="AF2098" s="13"/>
      <c r="AG2098" s="13"/>
    </row>
    <row r="2099" spans="1:33" s="14" customFormat="1" ht="15" customHeight="1">
      <c r="A2099" s="10">
        <v>43122</v>
      </c>
      <c r="B2099" s="3" t="s">
        <v>157</v>
      </c>
      <c r="C2099" s="15" t="s">
        <v>47</v>
      </c>
      <c r="D2099" s="15">
        <v>910</v>
      </c>
      <c r="E2099" s="11">
        <v>1500</v>
      </c>
      <c r="F2099" s="3" t="s">
        <v>8</v>
      </c>
      <c r="G2099" s="46">
        <v>10</v>
      </c>
      <c r="H2099" s="3">
        <v>12</v>
      </c>
      <c r="I2099" s="46">
        <v>15</v>
      </c>
      <c r="J2099" s="55">
        <v>0</v>
      </c>
      <c r="K2099" s="1">
        <f t="shared" ref="K2099" si="3002">(IF(F2099="SELL",G2099-H2099,IF(F2099="BUY",H2099-G2099)))*E2099</f>
        <v>3000</v>
      </c>
      <c r="L2099" s="51">
        <f t="shared" si="3000"/>
        <v>4500</v>
      </c>
      <c r="M2099" s="52">
        <v>0</v>
      </c>
      <c r="N2099" s="2">
        <f t="shared" si="2966"/>
        <v>5</v>
      </c>
      <c r="O2099" s="2">
        <f t="shared" si="2978"/>
        <v>7500</v>
      </c>
      <c r="P2099" s="13"/>
      <c r="Q2099" s="13"/>
      <c r="R2099" s="13"/>
      <c r="S2099" s="13"/>
      <c r="T2099" s="13"/>
      <c r="U2099" s="13"/>
      <c r="V2099" s="13"/>
      <c r="W2099" s="13"/>
      <c r="X2099" s="13"/>
      <c r="Y2099" s="13"/>
      <c r="Z2099" s="13"/>
      <c r="AA2099" s="13"/>
      <c r="AB2099" s="13"/>
      <c r="AC2099" s="13"/>
      <c r="AD2099" s="13"/>
      <c r="AE2099" s="13"/>
      <c r="AF2099" s="13"/>
      <c r="AG2099" s="13"/>
    </row>
    <row r="2100" spans="1:33" s="14" customFormat="1" ht="15" customHeight="1">
      <c r="A2100" s="10">
        <v>43119</v>
      </c>
      <c r="B2100" s="3" t="s">
        <v>270</v>
      </c>
      <c r="C2100" s="15" t="s">
        <v>46</v>
      </c>
      <c r="D2100" s="15">
        <v>260</v>
      </c>
      <c r="E2100" s="11">
        <v>4500</v>
      </c>
      <c r="F2100" s="3" t="s">
        <v>8</v>
      </c>
      <c r="G2100" s="46">
        <v>8.65</v>
      </c>
      <c r="H2100" s="3">
        <v>9.15</v>
      </c>
      <c r="I2100" s="46">
        <v>10</v>
      </c>
      <c r="J2100" s="55">
        <v>0</v>
      </c>
      <c r="K2100" s="1">
        <f t="shared" ref="K2100" si="3003">(IF(F2100="SELL",G2100-H2100,IF(F2100="BUY",H2100-G2100)))*E2100</f>
        <v>2250</v>
      </c>
      <c r="L2100" s="51">
        <f t="shared" ref="L2100:L2101" si="3004">(IF(F2100="SELL",IF(I2100="",0,H2100-I2100),IF(F2100="BUY",IF(I2100="",0,I2100-H2100))))*E2100</f>
        <v>3824.9999999999982</v>
      </c>
      <c r="M2100" s="52">
        <v>0</v>
      </c>
      <c r="N2100" s="2">
        <f t="shared" si="2966"/>
        <v>1.3499999999999996</v>
      </c>
      <c r="O2100" s="2">
        <f t="shared" si="2978"/>
        <v>6074.9999999999982</v>
      </c>
      <c r="P2100" s="13"/>
      <c r="Q2100" s="13"/>
      <c r="R2100" s="13"/>
      <c r="S2100" s="13"/>
      <c r="T2100" s="13"/>
      <c r="U2100" s="13"/>
      <c r="V2100" s="13"/>
      <c r="W2100" s="13"/>
      <c r="X2100" s="13"/>
      <c r="Y2100" s="13"/>
      <c r="Z2100" s="13"/>
      <c r="AA2100" s="13"/>
      <c r="AB2100" s="13"/>
      <c r="AC2100" s="13"/>
      <c r="AD2100" s="13"/>
      <c r="AE2100" s="13"/>
      <c r="AF2100" s="13"/>
      <c r="AG2100" s="13"/>
    </row>
    <row r="2101" spans="1:33" s="14" customFormat="1" ht="15" customHeight="1">
      <c r="A2101" s="10">
        <v>43119</v>
      </c>
      <c r="B2101" s="3" t="s">
        <v>141</v>
      </c>
      <c r="C2101" s="15" t="s">
        <v>46</v>
      </c>
      <c r="D2101" s="15">
        <v>280</v>
      </c>
      <c r="E2101" s="11">
        <v>3000</v>
      </c>
      <c r="F2101" s="3" t="s">
        <v>8</v>
      </c>
      <c r="G2101" s="46">
        <v>4.45</v>
      </c>
      <c r="H2101" s="3">
        <v>5</v>
      </c>
      <c r="I2101" s="46">
        <v>6</v>
      </c>
      <c r="J2101" s="55">
        <v>0</v>
      </c>
      <c r="K2101" s="1">
        <f t="shared" ref="K2101" si="3005">(IF(F2101="SELL",G2101-H2101,IF(F2101="BUY",H2101-G2101)))*E2101</f>
        <v>1649.9999999999995</v>
      </c>
      <c r="L2101" s="51">
        <f t="shared" si="3004"/>
        <v>3000</v>
      </c>
      <c r="M2101" s="52">
        <v>0</v>
      </c>
      <c r="N2101" s="2">
        <f t="shared" si="2966"/>
        <v>1.55</v>
      </c>
      <c r="O2101" s="2">
        <f t="shared" si="2978"/>
        <v>4650</v>
      </c>
      <c r="P2101" s="13"/>
      <c r="Q2101" s="13"/>
      <c r="R2101" s="13"/>
      <c r="S2101" s="13"/>
      <c r="T2101" s="13"/>
      <c r="U2101" s="13"/>
      <c r="V2101" s="13"/>
      <c r="W2101" s="13"/>
      <c r="X2101" s="13"/>
      <c r="Y2101" s="13"/>
      <c r="Z2101" s="13"/>
      <c r="AA2101" s="13"/>
      <c r="AB2101" s="13"/>
      <c r="AC2101" s="13"/>
      <c r="AD2101" s="13"/>
      <c r="AE2101" s="13"/>
      <c r="AF2101" s="13"/>
      <c r="AG2101" s="13"/>
    </row>
    <row r="2102" spans="1:33" s="14" customFormat="1" ht="15" customHeight="1">
      <c r="A2102" s="10">
        <v>43118</v>
      </c>
      <c r="B2102" s="3" t="s">
        <v>198</v>
      </c>
      <c r="C2102" s="15" t="s">
        <v>47</v>
      </c>
      <c r="D2102" s="15">
        <v>310</v>
      </c>
      <c r="E2102" s="11">
        <v>3000</v>
      </c>
      <c r="F2102" s="3" t="s">
        <v>8</v>
      </c>
      <c r="G2102" s="46">
        <v>6.3</v>
      </c>
      <c r="H2102" s="3">
        <v>4</v>
      </c>
      <c r="I2102" s="46">
        <v>0</v>
      </c>
      <c r="J2102" s="55">
        <v>0</v>
      </c>
      <c r="K2102" s="1">
        <f t="shared" ref="K2102" si="3006">(IF(F2102="SELL",G2102-H2102,IF(F2102="BUY",H2102-G2102)))*E2102</f>
        <v>-6899.9999999999991</v>
      </c>
      <c r="L2102" s="51">
        <v>0</v>
      </c>
      <c r="M2102" s="52">
        <v>0</v>
      </c>
      <c r="N2102" s="2">
        <f t="shared" si="2966"/>
        <v>-2.2999999999999998</v>
      </c>
      <c r="O2102" s="2">
        <f t="shared" si="2978"/>
        <v>-6899.9999999999991</v>
      </c>
      <c r="P2102" s="13"/>
      <c r="Q2102" s="13"/>
      <c r="R2102" s="13"/>
      <c r="S2102" s="13"/>
      <c r="T2102" s="13"/>
      <c r="U2102" s="13"/>
      <c r="V2102" s="13"/>
      <c r="W2102" s="13"/>
      <c r="X2102" s="13"/>
      <c r="Y2102" s="13"/>
      <c r="Z2102" s="13"/>
      <c r="AA2102" s="13"/>
      <c r="AB2102" s="13"/>
      <c r="AC2102" s="13"/>
      <c r="AD2102" s="13"/>
      <c r="AE2102" s="13"/>
      <c r="AF2102" s="13"/>
      <c r="AG2102" s="13"/>
    </row>
    <row r="2103" spans="1:33" s="14" customFormat="1" ht="15" customHeight="1">
      <c r="A2103" s="10">
        <v>43117</v>
      </c>
      <c r="B2103" s="3" t="s">
        <v>185</v>
      </c>
      <c r="C2103" s="15" t="s">
        <v>46</v>
      </c>
      <c r="D2103" s="15">
        <v>180</v>
      </c>
      <c r="E2103" s="11">
        <v>3500</v>
      </c>
      <c r="F2103" s="3" t="s">
        <v>8</v>
      </c>
      <c r="G2103" s="46">
        <v>3.5</v>
      </c>
      <c r="H2103" s="3">
        <v>0</v>
      </c>
      <c r="I2103" s="46">
        <v>0</v>
      </c>
      <c r="J2103" s="55">
        <v>0</v>
      </c>
      <c r="K2103" s="1">
        <v>0</v>
      </c>
      <c r="L2103" s="51">
        <v>0</v>
      </c>
      <c r="M2103" s="52">
        <v>0</v>
      </c>
      <c r="N2103" s="2">
        <f t="shared" si="2966"/>
        <v>0</v>
      </c>
      <c r="O2103" s="2">
        <f t="shared" si="2978"/>
        <v>0</v>
      </c>
      <c r="P2103" s="13"/>
      <c r="Q2103" s="13"/>
      <c r="R2103" s="13"/>
      <c r="S2103" s="13"/>
      <c r="T2103" s="13"/>
      <c r="U2103" s="13"/>
      <c r="V2103" s="13"/>
      <c r="W2103" s="13"/>
      <c r="X2103" s="13"/>
      <c r="Y2103" s="13"/>
      <c r="Z2103" s="13"/>
      <c r="AA2103" s="13"/>
      <c r="AB2103" s="13"/>
      <c r="AC2103" s="13"/>
      <c r="AD2103" s="13"/>
      <c r="AE2103" s="13"/>
      <c r="AF2103" s="13"/>
      <c r="AG2103" s="13"/>
    </row>
    <row r="2104" spans="1:33" s="14" customFormat="1" ht="15" customHeight="1">
      <c r="A2104" s="10">
        <v>43115</v>
      </c>
      <c r="B2104" s="3" t="s">
        <v>269</v>
      </c>
      <c r="C2104" s="15" t="s">
        <v>47</v>
      </c>
      <c r="D2104" s="15">
        <v>100</v>
      </c>
      <c r="E2104" s="11">
        <v>12000</v>
      </c>
      <c r="F2104" s="3" t="s">
        <v>8</v>
      </c>
      <c r="G2104" s="46">
        <v>3.25</v>
      </c>
      <c r="H2104" s="3">
        <v>3.5</v>
      </c>
      <c r="I2104" s="46">
        <v>0</v>
      </c>
      <c r="J2104" s="55">
        <v>0</v>
      </c>
      <c r="K2104" s="1">
        <f t="shared" ref="K2104" si="3007">(IF(F2104="SELL",G2104-H2104,IF(F2104="BUY",H2104-G2104)))*E2104</f>
        <v>3000</v>
      </c>
      <c r="L2104" s="51">
        <v>0</v>
      </c>
      <c r="M2104" s="52">
        <v>0</v>
      </c>
      <c r="N2104" s="2">
        <f t="shared" si="2966"/>
        <v>0.25</v>
      </c>
      <c r="O2104" s="2">
        <f t="shared" si="2978"/>
        <v>3000</v>
      </c>
      <c r="P2104" s="13"/>
      <c r="Q2104" s="13"/>
      <c r="R2104" s="13"/>
      <c r="S2104" s="13"/>
      <c r="T2104" s="13"/>
      <c r="U2104" s="13"/>
      <c r="V2104" s="13"/>
      <c r="W2104" s="13"/>
      <c r="X2104" s="13"/>
      <c r="Y2104" s="13"/>
      <c r="Z2104" s="13"/>
      <c r="AA2104" s="13"/>
      <c r="AB2104" s="13"/>
      <c r="AC2104" s="13"/>
      <c r="AD2104" s="13"/>
      <c r="AE2104" s="13"/>
      <c r="AF2104" s="13"/>
      <c r="AG2104" s="13"/>
    </row>
    <row r="2105" spans="1:33" s="14" customFormat="1" ht="15" customHeight="1">
      <c r="A2105" s="10">
        <v>43112</v>
      </c>
      <c r="B2105" s="3" t="s">
        <v>234</v>
      </c>
      <c r="C2105" s="15" t="s">
        <v>47</v>
      </c>
      <c r="D2105" s="15">
        <v>325</v>
      </c>
      <c r="E2105" s="11">
        <v>4500</v>
      </c>
      <c r="F2105" s="3" t="s">
        <v>8</v>
      </c>
      <c r="G2105" s="46">
        <v>7</v>
      </c>
      <c r="H2105" s="3">
        <v>7.5</v>
      </c>
      <c r="I2105" s="46">
        <v>8</v>
      </c>
      <c r="J2105" s="55">
        <v>9</v>
      </c>
      <c r="K2105" s="1">
        <f t="shared" ref="K2105" si="3008">(IF(F2105="SELL",G2105-H2105,IF(F2105="BUY",H2105-G2105)))*E2105</f>
        <v>2250</v>
      </c>
      <c r="L2105" s="51">
        <f t="shared" ref="L2105" si="3009">(IF(F2105="SELL",IF(I2105="",0,H2105-I2105),IF(F2105="BUY",IF(I2105="",0,I2105-H2105))))*E2105</f>
        <v>2250</v>
      </c>
      <c r="M2105" s="52">
        <f>(IF(F2105="SELL",IF(J2105="",0,I2105-J2105),IF(F2105="BUY",IF(J2105="",0,(J2105-I2105)))))*E2105</f>
        <v>4500</v>
      </c>
      <c r="N2105" s="2">
        <f t="shared" si="2966"/>
        <v>2</v>
      </c>
      <c r="O2105" s="2">
        <f t="shared" si="2978"/>
        <v>9000</v>
      </c>
      <c r="P2105" s="13"/>
      <c r="Q2105" s="13"/>
      <c r="R2105" s="13"/>
      <c r="S2105" s="13"/>
      <c r="T2105" s="13"/>
      <c r="U2105" s="13"/>
      <c r="V2105" s="13"/>
      <c r="W2105" s="13"/>
      <c r="X2105" s="13"/>
      <c r="Y2105" s="13"/>
      <c r="Z2105" s="13"/>
      <c r="AA2105" s="13"/>
      <c r="AB2105" s="13"/>
      <c r="AC2105" s="13"/>
      <c r="AD2105" s="13"/>
      <c r="AE2105" s="13"/>
      <c r="AF2105" s="13"/>
      <c r="AG2105" s="13"/>
    </row>
    <row r="2106" spans="1:33" s="14" customFormat="1" ht="15" customHeight="1">
      <c r="A2106" s="10">
        <v>43111</v>
      </c>
      <c r="B2106" s="3" t="s">
        <v>22</v>
      </c>
      <c r="C2106" s="15" t="s">
        <v>47</v>
      </c>
      <c r="D2106" s="15">
        <v>280</v>
      </c>
      <c r="E2106" s="11">
        <v>5000</v>
      </c>
      <c r="F2106" s="3" t="s">
        <v>8</v>
      </c>
      <c r="G2106" s="46">
        <v>8</v>
      </c>
      <c r="H2106" s="3">
        <v>6.5</v>
      </c>
      <c r="I2106" s="46">
        <v>0</v>
      </c>
      <c r="J2106" s="55">
        <v>0</v>
      </c>
      <c r="K2106" s="1">
        <f t="shared" ref="K2106" si="3010">(IF(F2106="SELL",G2106-H2106,IF(F2106="BUY",H2106-G2106)))*E2106</f>
        <v>-7500</v>
      </c>
      <c r="L2106" s="51">
        <v>0</v>
      </c>
      <c r="M2106" s="52">
        <v>0</v>
      </c>
      <c r="N2106" s="2">
        <f t="shared" si="2966"/>
        <v>-1.5</v>
      </c>
      <c r="O2106" s="2">
        <f t="shared" si="2978"/>
        <v>-7500</v>
      </c>
      <c r="P2106" s="13"/>
      <c r="Q2106" s="13"/>
      <c r="R2106" s="13"/>
      <c r="S2106" s="13"/>
      <c r="T2106" s="13"/>
      <c r="U2106" s="13"/>
      <c r="V2106" s="13"/>
      <c r="W2106" s="13"/>
      <c r="X2106" s="13"/>
      <c r="Y2106" s="13"/>
      <c r="Z2106" s="13"/>
      <c r="AA2106" s="13"/>
      <c r="AB2106" s="13"/>
      <c r="AC2106" s="13"/>
      <c r="AD2106" s="13"/>
      <c r="AE2106" s="13"/>
      <c r="AF2106" s="13"/>
      <c r="AG2106" s="13"/>
    </row>
    <row r="2107" spans="1:33" s="14" customFormat="1" ht="15" customHeight="1">
      <c r="A2107" s="10">
        <v>43111</v>
      </c>
      <c r="B2107" s="3" t="s">
        <v>268</v>
      </c>
      <c r="C2107" s="15" t="s">
        <v>47</v>
      </c>
      <c r="D2107" s="15">
        <v>110</v>
      </c>
      <c r="E2107" s="11">
        <v>7000</v>
      </c>
      <c r="F2107" s="3" t="s">
        <v>8</v>
      </c>
      <c r="G2107" s="46">
        <v>4.5</v>
      </c>
      <c r="H2107" s="3">
        <v>3.5</v>
      </c>
      <c r="I2107" s="46">
        <v>0</v>
      </c>
      <c r="J2107" s="55">
        <v>0</v>
      </c>
      <c r="K2107" s="1">
        <f t="shared" ref="K2107" si="3011">(IF(F2107="SELL",G2107-H2107,IF(F2107="BUY",H2107-G2107)))*E2107</f>
        <v>-7000</v>
      </c>
      <c r="L2107" s="51">
        <v>0</v>
      </c>
      <c r="M2107" s="52">
        <v>0</v>
      </c>
      <c r="N2107" s="2">
        <f t="shared" si="2966"/>
        <v>-1</v>
      </c>
      <c r="O2107" s="2">
        <f t="shared" si="2978"/>
        <v>-7000</v>
      </c>
      <c r="P2107" s="13"/>
      <c r="Q2107" s="13"/>
      <c r="R2107" s="13"/>
      <c r="S2107" s="13"/>
      <c r="T2107" s="13"/>
      <c r="U2107" s="13"/>
      <c r="V2107" s="13"/>
      <c r="W2107" s="13"/>
      <c r="X2107" s="13"/>
      <c r="Y2107" s="13"/>
      <c r="Z2107" s="13"/>
      <c r="AA2107" s="13"/>
      <c r="AB2107" s="13"/>
      <c r="AC2107" s="13"/>
      <c r="AD2107" s="13"/>
      <c r="AE2107" s="13"/>
      <c r="AF2107" s="13"/>
      <c r="AG2107" s="13"/>
    </row>
    <row r="2108" spans="1:33" s="14" customFormat="1" ht="15" customHeight="1">
      <c r="A2108" s="10">
        <v>43110</v>
      </c>
      <c r="B2108" s="3" t="s">
        <v>224</v>
      </c>
      <c r="C2108" s="15" t="s">
        <v>47</v>
      </c>
      <c r="D2108" s="15">
        <v>370</v>
      </c>
      <c r="E2108" s="11">
        <v>3000</v>
      </c>
      <c r="F2108" s="3" t="s">
        <v>8</v>
      </c>
      <c r="G2108" s="46">
        <v>7.5</v>
      </c>
      <c r="H2108" s="3">
        <v>0</v>
      </c>
      <c r="I2108" s="46">
        <v>0</v>
      </c>
      <c r="J2108" s="55">
        <v>0</v>
      </c>
      <c r="K2108" s="1">
        <v>0</v>
      </c>
      <c r="L2108" s="51">
        <f t="shared" ref="L2108" si="3012">(IF(F2108="SELL",IF(I2108="",0,H2108-I2108),IF(F2108="BUY",IF(I2108="",0,I2108-H2108))))*E2108</f>
        <v>0</v>
      </c>
      <c r="M2108" s="52">
        <v>0</v>
      </c>
      <c r="N2108" s="2">
        <f t="shared" si="2966"/>
        <v>0</v>
      </c>
      <c r="O2108" s="2">
        <f t="shared" si="2978"/>
        <v>0</v>
      </c>
      <c r="P2108" s="13"/>
      <c r="Q2108" s="13"/>
      <c r="R2108" s="13"/>
      <c r="S2108" s="13"/>
      <c r="T2108" s="13"/>
      <c r="U2108" s="13"/>
      <c r="V2108" s="13"/>
      <c r="W2108" s="13"/>
      <c r="X2108" s="13"/>
      <c r="Y2108" s="13"/>
      <c r="Z2108" s="13"/>
      <c r="AA2108" s="13"/>
      <c r="AB2108" s="13"/>
      <c r="AC2108" s="13"/>
      <c r="AD2108" s="13"/>
      <c r="AE2108" s="13"/>
      <c r="AF2108" s="13"/>
      <c r="AG2108" s="13"/>
    </row>
    <row r="2109" spans="1:33" s="14" customFormat="1" ht="15" customHeight="1">
      <c r="A2109" s="10">
        <v>43109</v>
      </c>
      <c r="B2109" s="3" t="s">
        <v>268</v>
      </c>
      <c r="C2109" s="15" t="s">
        <v>47</v>
      </c>
      <c r="D2109" s="15">
        <v>110</v>
      </c>
      <c r="E2109" s="11">
        <v>7000</v>
      </c>
      <c r="F2109" s="3" t="s">
        <v>8</v>
      </c>
      <c r="G2109" s="46">
        <v>4.1500000000000004</v>
      </c>
      <c r="H2109" s="3">
        <v>4.7</v>
      </c>
      <c r="I2109" s="46">
        <v>0</v>
      </c>
      <c r="J2109" s="55">
        <v>0</v>
      </c>
      <c r="K2109" s="1">
        <f t="shared" ref="K2109" si="3013">(IF(F2109="SELL",G2109-H2109,IF(F2109="BUY",H2109-G2109)))*E2109</f>
        <v>3849.9999999999986</v>
      </c>
      <c r="L2109" s="51">
        <v>0</v>
      </c>
      <c r="M2109" s="52">
        <v>0</v>
      </c>
      <c r="N2109" s="2">
        <f t="shared" si="2966"/>
        <v>0.54999999999999982</v>
      </c>
      <c r="O2109" s="2">
        <f t="shared" si="2978"/>
        <v>3849.9999999999986</v>
      </c>
      <c r="P2109" s="13"/>
      <c r="Q2109" s="13"/>
      <c r="R2109" s="13"/>
      <c r="S2109" s="13"/>
      <c r="T2109" s="13"/>
      <c r="U2109" s="13"/>
      <c r="V2109" s="13"/>
      <c r="W2109" s="13"/>
      <c r="X2109" s="13"/>
      <c r="Y2109" s="13"/>
      <c r="Z2109" s="13"/>
      <c r="AA2109" s="13"/>
      <c r="AB2109" s="13"/>
      <c r="AC2109" s="13"/>
      <c r="AD2109" s="13"/>
      <c r="AE2109" s="13"/>
      <c r="AF2109" s="13"/>
      <c r="AG2109" s="13"/>
    </row>
    <row r="2110" spans="1:33" s="14" customFormat="1" ht="15" customHeight="1">
      <c r="A2110" s="10">
        <v>43109</v>
      </c>
      <c r="B2110" s="3" t="s">
        <v>167</v>
      </c>
      <c r="C2110" s="15" t="s">
        <v>47</v>
      </c>
      <c r="D2110" s="15">
        <v>1060</v>
      </c>
      <c r="E2110" s="11">
        <v>1000</v>
      </c>
      <c r="F2110" s="3" t="s">
        <v>8</v>
      </c>
      <c r="G2110" s="46">
        <v>21</v>
      </c>
      <c r="H2110" s="3">
        <v>23</v>
      </c>
      <c r="I2110" s="46">
        <v>0</v>
      </c>
      <c r="J2110" s="55">
        <v>0</v>
      </c>
      <c r="K2110" s="1">
        <f t="shared" ref="K2110" si="3014">(IF(F2110="SELL",G2110-H2110,IF(F2110="BUY",H2110-G2110)))*E2110</f>
        <v>2000</v>
      </c>
      <c r="L2110" s="51">
        <v>0</v>
      </c>
      <c r="M2110" s="52">
        <v>0</v>
      </c>
      <c r="N2110" s="2">
        <f t="shared" si="2966"/>
        <v>2</v>
      </c>
      <c r="O2110" s="2">
        <f t="shared" si="2978"/>
        <v>2000</v>
      </c>
      <c r="P2110" s="13"/>
      <c r="Q2110" s="13"/>
      <c r="R2110" s="13"/>
      <c r="S2110" s="13"/>
      <c r="T2110" s="13"/>
      <c r="U2110" s="13"/>
      <c r="V2110" s="13"/>
      <c r="W2110" s="13"/>
      <c r="X2110" s="13"/>
      <c r="Y2110" s="13"/>
      <c r="Z2110" s="13"/>
      <c r="AA2110" s="13"/>
      <c r="AB2110" s="13"/>
      <c r="AC2110" s="13"/>
      <c r="AD2110" s="13"/>
      <c r="AE2110" s="13"/>
      <c r="AF2110" s="13"/>
      <c r="AG2110" s="13"/>
    </row>
    <row r="2111" spans="1:33" s="14" customFormat="1" ht="15" customHeight="1">
      <c r="A2111" s="10">
        <v>43108</v>
      </c>
      <c r="B2111" s="3" t="s">
        <v>262</v>
      </c>
      <c r="C2111" s="15" t="s">
        <v>47</v>
      </c>
      <c r="D2111" s="15">
        <v>1520</v>
      </c>
      <c r="E2111" s="11">
        <v>600</v>
      </c>
      <c r="F2111" s="3" t="s">
        <v>8</v>
      </c>
      <c r="G2111" s="46">
        <v>35</v>
      </c>
      <c r="H2111" s="3">
        <v>39</v>
      </c>
      <c r="I2111" s="46">
        <v>45</v>
      </c>
      <c r="J2111" s="55">
        <v>0</v>
      </c>
      <c r="K2111" s="1">
        <f t="shared" ref="K2111" si="3015">(IF(F2111="SELL",G2111-H2111,IF(F2111="BUY",H2111-G2111)))*E2111</f>
        <v>2400</v>
      </c>
      <c r="L2111" s="51">
        <f t="shared" ref="L2111" si="3016">(IF(F2111="SELL",IF(I2111="",0,H2111-I2111),IF(F2111="BUY",IF(I2111="",0,I2111-H2111))))*E2111</f>
        <v>3600</v>
      </c>
      <c r="M2111" s="52">
        <v>0</v>
      </c>
      <c r="N2111" s="2">
        <f t="shared" si="2966"/>
        <v>10</v>
      </c>
      <c r="O2111" s="2">
        <f t="shared" si="2978"/>
        <v>6000</v>
      </c>
      <c r="P2111" s="13"/>
      <c r="Q2111" s="13"/>
      <c r="R2111" s="13"/>
      <c r="S2111" s="13"/>
      <c r="T2111" s="13"/>
      <c r="U2111" s="13"/>
      <c r="V2111" s="13"/>
      <c r="W2111" s="13"/>
      <c r="X2111" s="13"/>
      <c r="Y2111" s="13"/>
      <c r="Z2111" s="13"/>
      <c r="AA2111" s="13"/>
      <c r="AB2111" s="13"/>
      <c r="AC2111" s="13"/>
      <c r="AD2111" s="13"/>
      <c r="AE2111" s="13"/>
      <c r="AF2111" s="13"/>
      <c r="AG2111" s="13"/>
    </row>
    <row r="2112" spans="1:33" s="14" customFormat="1" ht="15" customHeight="1">
      <c r="A2112" s="10">
        <v>43105</v>
      </c>
      <c r="B2112" s="3" t="s">
        <v>262</v>
      </c>
      <c r="C2112" s="15" t="s">
        <v>47</v>
      </c>
      <c r="D2112" s="15">
        <v>1500</v>
      </c>
      <c r="E2112" s="11">
        <v>600</v>
      </c>
      <c r="F2112" s="3" t="s">
        <v>8</v>
      </c>
      <c r="G2112" s="46">
        <v>35</v>
      </c>
      <c r="H2112" s="3">
        <v>40</v>
      </c>
      <c r="I2112" s="46">
        <v>0</v>
      </c>
      <c r="J2112" s="55">
        <v>0</v>
      </c>
      <c r="K2112" s="1">
        <f t="shared" ref="K2112" si="3017">(IF(F2112="SELL",G2112-H2112,IF(F2112="BUY",H2112-G2112)))*E2112</f>
        <v>3000</v>
      </c>
      <c r="L2112" s="51">
        <v>0</v>
      </c>
      <c r="M2112" s="52">
        <v>0</v>
      </c>
      <c r="N2112" s="2">
        <f t="shared" si="2966"/>
        <v>5</v>
      </c>
      <c r="O2112" s="2">
        <f t="shared" si="2978"/>
        <v>3000</v>
      </c>
      <c r="P2112" s="13"/>
      <c r="Q2112" s="13"/>
      <c r="R2112" s="13"/>
      <c r="S2112" s="13"/>
      <c r="T2112" s="13"/>
      <c r="U2112" s="13"/>
      <c r="V2112" s="13"/>
      <c r="W2112" s="13"/>
      <c r="X2112" s="13"/>
      <c r="Y2112" s="13"/>
      <c r="Z2112" s="13"/>
      <c r="AA2112" s="13"/>
      <c r="AB2112" s="13"/>
      <c r="AC2112" s="13"/>
      <c r="AD2112" s="13"/>
      <c r="AE2112" s="13"/>
      <c r="AF2112" s="13"/>
      <c r="AG2112" s="13"/>
    </row>
    <row r="2113" spans="1:33" s="14" customFormat="1" ht="15" customHeight="1">
      <c r="A2113" s="10">
        <v>43105</v>
      </c>
      <c r="B2113" s="3" t="s">
        <v>267</v>
      </c>
      <c r="C2113" s="15" t="s">
        <v>47</v>
      </c>
      <c r="D2113" s="15">
        <v>105</v>
      </c>
      <c r="E2113" s="11">
        <v>7500</v>
      </c>
      <c r="F2113" s="3" t="s">
        <v>8</v>
      </c>
      <c r="G2113" s="46">
        <v>3</v>
      </c>
      <c r="H2113" s="3">
        <v>3.4</v>
      </c>
      <c r="I2113" s="46">
        <v>0</v>
      </c>
      <c r="J2113" s="55">
        <v>0</v>
      </c>
      <c r="K2113" s="1">
        <f t="shared" ref="K2113" si="3018">(IF(F2113="SELL",G2113-H2113,IF(F2113="BUY",H2113-G2113)))*E2113</f>
        <v>2999.9999999999995</v>
      </c>
      <c r="L2113" s="51">
        <v>0</v>
      </c>
      <c r="M2113" s="52">
        <v>0</v>
      </c>
      <c r="N2113" s="2">
        <f t="shared" si="2966"/>
        <v>0.39999999999999997</v>
      </c>
      <c r="O2113" s="2">
        <f t="shared" si="2978"/>
        <v>2999.9999999999995</v>
      </c>
      <c r="P2113" s="13"/>
      <c r="Q2113" s="13"/>
      <c r="R2113" s="13"/>
      <c r="S2113" s="13"/>
      <c r="T2113" s="13"/>
      <c r="U2113" s="13"/>
      <c r="V2113" s="13"/>
      <c r="W2113" s="13"/>
      <c r="X2113" s="13"/>
      <c r="Y2113" s="13"/>
      <c r="Z2113" s="13"/>
      <c r="AA2113" s="13"/>
      <c r="AB2113" s="13"/>
      <c r="AC2113" s="13"/>
      <c r="AD2113" s="13"/>
      <c r="AE2113" s="13"/>
      <c r="AF2113" s="13"/>
      <c r="AG2113" s="13"/>
    </row>
    <row r="2114" spans="1:33" s="14" customFormat="1" ht="15" customHeight="1">
      <c r="A2114" s="10">
        <v>43104</v>
      </c>
      <c r="B2114" s="3" t="s">
        <v>255</v>
      </c>
      <c r="C2114" s="15" t="s">
        <v>47</v>
      </c>
      <c r="D2114" s="15">
        <v>175</v>
      </c>
      <c r="E2114" s="11">
        <v>6000</v>
      </c>
      <c r="F2114" s="3" t="s">
        <v>8</v>
      </c>
      <c r="G2114" s="46">
        <v>6.5</v>
      </c>
      <c r="H2114" s="3">
        <v>7</v>
      </c>
      <c r="I2114" s="46">
        <v>8</v>
      </c>
      <c r="J2114" s="55">
        <v>0</v>
      </c>
      <c r="K2114" s="1">
        <f t="shared" ref="K2114" si="3019">(IF(F2114="SELL",G2114-H2114,IF(F2114="BUY",H2114-G2114)))*E2114</f>
        <v>3000</v>
      </c>
      <c r="L2114" s="51">
        <f t="shared" ref="L2114" si="3020">(IF(F2114="SELL",IF(I2114="",0,H2114-I2114),IF(F2114="BUY",IF(I2114="",0,I2114-H2114))))*E2114</f>
        <v>6000</v>
      </c>
      <c r="M2114" s="52">
        <v>0</v>
      </c>
      <c r="N2114" s="2">
        <f t="shared" si="2966"/>
        <v>1.5</v>
      </c>
      <c r="O2114" s="2">
        <f t="shared" si="2978"/>
        <v>9000</v>
      </c>
      <c r="P2114" s="13"/>
      <c r="Q2114" s="13"/>
      <c r="R2114" s="13"/>
      <c r="S2114" s="13"/>
      <c r="T2114" s="13"/>
      <c r="U2114" s="13"/>
      <c r="V2114" s="13"/>
      <c r="W2114" s="13"/>
      <c r="X2114" s="13"/>
      <c r="Y2114" s="13"/>
      <c r="Z2114" s="13"/>
      <c r="AA2114" s="13"/>
      <c r="AB2114" s="13"/>
      <c r="AC2114" s="13"/>
      <c r="AD2114" s="13"/>
      <c r="AE2114" s="13"/>
      <c r="AF2114" s="13"/>
      <c r="AG2114" s="13"/>
    </row>
    <row r="2115" spans="1:33" s="14" customFormat="1" ht="15" customHeight="1">
      <c r="A2115" s="10">
        <v>43104</v>
      </c>
      <c r="B2115" s="3" t="s">
        <v>126</v>
      </c>
      <c r="C2115" s="15" t="s">
        <v>47</v>
      </c>
      <c r="D2115" s="15">
        <v>1320</v>
      </c>
      <c r="E2115" s="11">
        <v>750</v>
      </c>
      <c r="F2115" s="3" t="s">
        <v>8</v>
      </c>
      <c r="G2115" s="46">
        <v>22.5</v>
      </c>
      <c r="H2115" s="3">
        <v>26</v>
      </c>
      <c r="I2115" s="46">
        <v>30</v>
      </c>
      <c r="J2115" s="55">
        <v>0</v>
      </c>
      <c r="K2115" s="1">
        <f t="shared" ref="K2115" si="3021">(IF(F2115="SELL",G2115-H2115,IF(F2115="BUY",H2115-G2115)))*E2115</f>
        <v>2625</v>
      </c>
      <c r="L2115" s="51">
        <f t="shared" ref="L2115" si="3022">(IF(F2115="SELL",IF(I2115="",0,H2115-I2115),IF(F2115="BUY",IF(I2115="",0,I2115-H2115))))*E2115</f>
        <v>3000</v>
      </c>
      <c r="M2115" s="52">
        <v>0</v>
      </c>
      <c r="N2115" s="2">
        <f t="shared" si="2966"/>
        <v>7.5</v>
      </c>
      <c r="O2115" s="2">
        <f t="shared" si="2978"/>
        <v>5625</v>
      </c>
      <c r="P2115" s="13"/>
      <c r="Q2115" s="13"/>
      <c r="R2115" s="13"/>
      <c r="S2115" s="13"/>
      <c r="T2115" s="13"/>
      <c r="U2115" s="13"/>
      <c r="V2115" s="13"/>
      <c r="W2115" s="13"/>
      <c r="X2115" s="13"/>
      <c r="Y2115" s="13"/>
      <c r="Z2115" s="13"/>
      <c r="AA2115" s="13"/>
      <c r="AB2115" s="13"/>
      <c r="AC2115" s="13"/>
      <c r="AD2115" s="13"/>
      <c r="AE2115" s="13"/>
      <c r="AF2115" s="13"/>
      <c r="AG2115" s="13"/>
    </row>
    <row r="2116" spans="1:33" s="14" customFormat="1" ht="15" customHeight="1">
      <c r="A2116" s="10">
        <v>43103</v>
      </c>
      <c r="B2116" s="3" t="s">
        <v>266</v>
      </c>
      <c r="C2116" s="15" t="s">
        <v>47</v>
      </c>
      <c r="D2116" s="15">
        <v>1000</v>
      </c>
      <c r="E2116" s="11">
        <v>800</v>
      </c>
      <c r="F2116" s="3" t="s">
        <v>8</v>
      </c>
      <c r="G2116" s="46">
        <v>39</v>
      </c>
      <c r="H2116" s="3">
        <v>41</v>
      </c>
      <c r="I2116" s="46">
        <v>45</v>
      </c>
      <c r="J2116" s="55">
        <v>0</v>
      </c>
      <c r="K2116" s="1">
        <f t="shared" ref="K2116" si="3023">(IF(F2116="SELL",G2116-H2116,IF(F2116="BUY",H2116-G2116)))*E2116</f>
        <v>1600</v>
      </c>
      <c r="L2116" s="51">
        <f t="shared" ref="L2116" si="3024">(IF(F2116="SELL",IF(I2116="",0,H2116-I2116),IF(F2116="BUY",IF(I2116="",0,I2116-H2116))))*E2116</f>
        <v>3200</v>
      </c>
      <c r="M2116" s="52">
        <v>0</v>
      </c>
      <c r="N2116" s="2">
        <f t="shared" si="2966"/>
        <v>6</v>
      </c>
      <c r="O2116" s="2">
        <f t="shared" si="2978"/>
        <v>4800</v>
      </c>
      <c r="P2116" s="13"/>
      <c r="Q2116" s="13"/>
      <c r="R2116" s="13"/>
      <c r="S2116" s="13"/>
      <c r="T2116" s="13"/>
      <c r="U2116" s="13"/>
      <c r="V2116" s="13"/>
      <c r="W2116" s="13"/>
      <c r="X2116" s="13"/>
      <c r="Y2116" s="13"/>
      <c r="Z2116" s="13"/>
      <c r="AA2116" s="13"/>
      <c r="AB2116" s="13"/>
      <c r="AC2116" s="13"/>
      <c r="AD2116" s="13"/>
      <c r="AE2116" s="13"/>
      <c r="AF2116" s="13"/>
      <c r="AG2116" s="13"/>
    </row>
    <row r="2117" spans="1:33" s="14" customFormat="1" ht="15" customHeight="1">
      <c r="A2117" s="10">
        <v>43103</v>
      </c>
      <c r="B2117" s="3" t="s">
        <v>139</v>
      </c>
      <c r="C2117" s="15" t="s">
        <v>47</v>
      </c>
      <c r="D2117" s="15">
        <v>1850</v>
      </c>
      <c r="E2117" s="11">
        <v>500</v>
      </c>
      <c r="F2117" s="3" t="s">
        <v>8</v>
      </c>
      <c r="G2117" s="46">
        <v>74</v>
      </c>
      <c r="H2117" s="3">
        <v>78</v>
      </c>
      <c r="I2117" s="46">
        <v>83</v>
      </c>
      <c r="J2117" s="55">
        <v>0</v>
      </c>
      <c r="K2117" s="1">
        <f t="shared" ref="K2117" si="3025">(IF(F2117="SELL",G2117-H2117,IF(F2117="BUY",H2117-G2117)))*E2117</f>
        <v>2000</v>
      </c>
      <c r="L2117" s="51">
        <f t="shared" ref="L2117" si="3026">(IF(F2117="SELL",IF(I2117="",0,H2117-I2117),IF(F2117="BUY",IF(I2117="",0,I2117-H2117))))*E2117</f>
        <v>2500</v>
      </c>
      <c r="M2117" s="52">
        <v>0</v>
      </c>
      <c r="N2117" s="2">
        <f t="shared" si="2966"/>
        <v>9</v>
      </c>
      <c r="O2117" s="2">
        <f t="shared" si="2978"/>
        <v>4500</v>
      </c>
      <c r="P2117" s="13"/>
      <c r="Q2117" s="13"/>
      <c r="R2117" s="13"/>
      <c r="S2117" s="13"/>
      <c r="T2117" s="13"/>
      <c r="U2117" s="13"/>
      <c r="V2117" s="13"/>
      <c r="W2117" s="13"/>
      <c r="X2117" s="13"/>
      <c r="Y2117" s="13"/>
      <c r="Z2117" s="13"/>
      <c r="AA2117" s="13"/>
      <c r="AB2117" s="13"/>
      <c r="AC2117" s="13"/>
      <c r="AD2117" s="13"/>
      <c r="AE2117" s="13"/>
      <c r="AF2117" s="13"/>
      <c r="AG2117" s="13"/>
    </row>
    <row r="2118" spans="1:33" s="14" customFormat="1" ht="15" customHeight="1">
      <c r="A2118" s="10">
        <v>43102</v>
      </c>
      <c r="B2118" s="3" t="s">
        <v>264</v>
      </c>
      <c r="C2118" s="15" t="s">
        <v>47</v>
      </c>
      <c r="D2118" s="15">
        <v>190</v>
      </c>
      <c r="E2118" s="11">
        <v>4500</v>
      </c>
      <c r="F2118" s="3" t="s">
        <v>8</v>
      </c>
      <c r="G2118" s="46">
        <v>8.15</v>
      </c>
      <c r="H2118" s="3">
        <v>8.8000000000000007</v>
      </c>
      <c r="I2118" s="46">
        <v>9.5</v>
      </c>
      <c r="J2118" s="55">
        <v>10.199999999999999</v>
      </c>
      <c r="K2118" s="1">
        <f t="shared" ref="K2118" si="3027">(IF(F2118="SELL",G2118-H2118,IF(F2118="BUY",H2118-G2118)))*E2118</f>
        <v>2925.0000000000018</v>
      </c>
      <c r="L2118" s="51">
        <f t="shared" ref="L2118" si="3028">(IF(F2118="SELL",IF(I2118="",0,H2118-I2118),IF(F2118="BUY",IF(I2118="",0,I2118-H2118))))*E2118</f>
        <v>3149.9999999999968</v>
      </c>
      <c r="M2118" s="52">
        <f>(IF(F2118="SELL",IF(J2118="",0,I2118-J2118),IF(F2118="BUY",IF(J2118="",0,(J2118-I2118)))))*E2118</f>
        <v>3149.9999999999968</v>
      </c>
      <c r="N2118" s="2">
        <f t="shared" si="2966"/>
        <v>2.0499999999999989</v>
      </c>
      <c r="O2118" s="2">
        <f t="shared" si="2978"/>
        <v>9224.9999999999945</v>
      </c>
      <c r="P2118" s="13"/>
      <c r="Q2118" s="13"/>
      <c r="R2118" s="13"/>
      <c r="S2118" s="13"/>
      <c r="T2118" s="13"/>
      <c r="U2118" s="13"/>
      <c r="V2118" s="13"/>
      <c r="W2118" s="13"/>
      <c r="X2118" s="13"/>
      <c r="Y2118" s="13"/>
      <c r="Z2118" s="13"/>
      <c r="AA2118" s="13"/>
      <c r="AB2118" s="13"/>
      <c r="AC2118" s="13"/>
      <c r="AD2118" s="13"/>
      <c r="AE2118" s="13"/>
      <c r="AF2118" s="13"/>
      <c r="AG2118" s="13"/>
    </row>
    <row r="2119" spans="1:33" s="14" customFormat="1" ht="15" customHeight="1">
      <c r="A2119" s="10">
        <v>43102</v>
      </c>
      <c r="B2119" s="3" t="s">
        <v>265</v>
      </c>
      <c r="C2119" s="15" t="s">
        <v>47</v>
      </c>
      <c r="D2119" s="15">
        <v>315</v>
      </c>
      <c r="E2119" s="11">
        <v>2400</v>
      </c>
      <c r="F2119" s="3" t="s">
        <v>8</v>
      </c>
      <c r="G2119" s="46">
        <v>7</v>
      </c>
      <c r="H2119" s="3">
        <v>8</v>
      </c>
      <c r="I2119" s="46">
        <v>9</v>
      </c>
      <c r="J2119" s="55">
        <v>10.5</v>
      </c>
      <c r="K2119" s="1">
        <f t="shared" ref="K2119" si="3029">(IF(F2119="SELL",G2119-H2119,IF(F2119="BUY",H2119-G2119)))*E2119</f>
        <v>2400</v>
      </c>
      <c r="L2119" s="51">
        <f t="shared" ref="L2119" si="3030">(IF(F2119="SELL",IF(I2119="",0,H2119-I2119),IF(F2119="BUY",IF(I2119="",0,I2119-H2119))))*E2119</f>
        <v>2400</v>
      </c>
      <c r="M2119" s="52">
        <f>(IF(F2119="SELL",IF(J2119="",0,I2119-J2119),IF(F2119="BUY",IF(J2119="",0,(J2119-I2119)))))*E2119</f>
        <v>3600</v>
      </c>
      <c r="N2119" s="2">
        <f t="shared" si="2966"/>
        <v>3.5</v>
      </c>
      <c r="O2119" s="2">
        <f t="shared" si="2978"/>
        <v>8400</v>
      </c>
      <c r="P2119" s="13"/>
      <c r="Q2119" s="13"/>
      <c r="R2119" s="13"/>
      <c r="S2119" s="13"/>
      <c r="T2119" s="13"/>
      <c r="U2119" s="13"/>
      <c r="V2119" s="13"/>
      <c r="W2119" s="13"/>
      <c r="X2119" s="13"/>
      <c r="Y2119" s="13"/>
      <c r="Z2119" s="13"/>
      <c r="AA2119" s="13"/>
      <c r="AB2119" s="13"/>
      <c r="AC2119" s="13"/>
      <c r="AD2119" s="13"/>
      <c r="AE2119" s="13"/>
      <c r="AF2119" s="13"/>
      <c r="AG2119" s="13"/>
    </row>
    <row r="2120" spans="1:33" s="14" customFormat="1" ht="15" customHeight="1">
      <c r="A2120" s="10">
        <v>43101</v>
      </c>
      <c r="B2120" s="3" t="s">
        <v>262</v>
      </c>
      <c r="C2120" s="15" t="s">
        <v>47</v>
      </c>
      <c r="D2120" s="15">
        <v>1500</v>
      </c>
      <c r="E2120" s="11">
        <v>600</v>
      </c>
      <c r="F2120" s="3" t="s">
        <v>8</v>
      </c>
      <c r="G2120" s="46">
        <v>40</v>
      </c>
      <c r="H2120" s="3">
        <v>43.5</v>
      </c>
      <c r="I2120" s="46">
        <v>0</v>
      </c>
      <c r="J2120" s="55">
        <v>0</v>
      </c>
      <c r="K2120" s="1">
        <f t="shared" ref="K2120" si="3031">(IF(F2120="SELL",G2120-H2120,IF(F2120="BUY",H2120-G2120)))*E2120</f>
        <v>2100</v>
      </c>
      <c r="L2120" s="51">
        <v>0</v>
      </c>
      <c r="M2120" s="52">
        <f>(IF(F2120="SELL",IF(J2120="",0,I2120-J2120),IF(F2120="BUY",IF(J2120="",0,(J2120-I2120)))))*E2120</f>
        <v>0</v>
      </c>
      <c r="N2120" s="2">
        <f t="shared" si="2966"/>
        <v>3.5</v>
      </c>
      <c r="O2120" s="2">
        <f t="shared" si="2978"/>
        <v>2100</v>
      </c>
      <c r="P2120" s="13"/>
      <c r="Q2120" s="13"/>
      <c r="R2120" s="13"/>
      <c r="S2120" s="13"/>
      <c r="T2120" s="13"/>
      <c r="U2120" s="13"/>
      <c r="V2120" s="13"/>
      <c r="W2120" s="13"/>
      <c r="X2120" s="13"/>
      <c r="Y2120" s="13"/>
      <c r="Z2120" s="13"/>
      <c r="AA2120" s="13"/>
      <c r="AB2120" s="13"/>
      <c r="AC2120" s="13"/>
      <c r="AD2120" s="13"/>
      <c r="AE2120" s="13"/>
      <c r="AF2120" s="13"/>
      <c r="AG2120" s="13"/>
    </row>
    <row r="2121" spans="1:33" s="14" customFormat="1" ht="15.75" customHeight="1">
      <c r="A2121" s="10">
        <v>43101</v>
      </c>
      <c r="B2121" s="3" t="s">
        <v>264</v>
      </c>
      <c r="C2121" s="15" t="s">
        <v>47</v>
      </c>
      <c r="D2121" s="15">
        <v>185</v>
      </c>
      <c r="E2121" s="11">
        <v>4500</v>
      </c>
      <c r="F2121" s="3" t="s">
        <v>8</v>
      </c>
      <c r="G2121" s="46">
        <v>8.25</v>
      </c>
      <c r="H2121" s="3">
        <v>8.75</v>
      </c>
      <c r="I2121" s="46">
        <v>9.5</v>
      </c>
      <c r="J2121" s="55">
        <v>0</v>
      </c>
      <c r="K2121" s="1">
        <f t="shared" ref="K2121" si="3032">(IF(F2121="SELL",G2121-H2121,IF(F2121="BUY",H2121-G2121)))*E2121</f>
        <v>2250</v>
      </c>
      <c r="L2121" s="51">
        <f t="shared" ref="L2121" si="3033">(IF(F2121="SELL",IF(I2121="",0,H2121-I2121),IF(F2121="BUY",IF(I2121="",0,I2121-H2121))))*E2121</f>
        <v>3375</v>
      </c>
      <c r="M2121" s="52">
        <v>0</v>
      </c>
      <c r="N2121" s="2">
        <f t="shared" si="2966"/>
        <v>1.25</v>
      </c>
      <c r="O2121" s="2">
        <f t="shared" si="2978"/>
        <v>5625</v>
      </c>
      <c r="P2121" s="13"/>
      <c r="Q2121" s="13"/>
      <c r="R2121" s="13"/>
      <c r="S2121" s="13"/>
      <c r="T2121" s="13"/>
      <c r="U2121" s="13"/>
      <c r="V2121" s="13"/>
      <c r="W2121" s="13"/>
      <c r="X2121" s="13"/>
      <c r="Y2121" s="13"/>
      <c r="Z2121" s="13"/>
      <c r="AA2121" s="13"/>
      <c r="AB2121" s="13"/>
      <c r="AC2121" s="13"/>
      <c r="AD2121" s="13"/>
      <c r="AE2121" s="13"/>
      <c r="AF2121" s="13"/>
      <c r="AG2121" s="13"/>
    </row>
    <row r="2122" spans="1:33" s="14" customFormat="1" ht="15" customHeight="1">
      <c r="A2122" s="10">
        <v>43098</v>
      </c>
      <c r="B2122" s="3" t="s">
        <v>262</v>
      </c>
      <c r="C2122" s="15" t="s">
        <v>47</v>
      </c>
      <c r="D2122" s="15">
        <v>1500</v>
      </c>
      <c r="E2122" s="11">
        <v>600</v>
      </c>
      <c r="F2122" s="3" t="s">
        <v>8</v>
      </c>
      <c r="G2122" s="46">
        <v>43</v>
      </c>
      <c r="H2122" s="3">
        <v>46</v>
      </c>
      <c r="I2122" s="46">
        <v>50</v>
      </c>
      <c r="J2122" s="55">
        <v>55</v>
      </c>
      <c r="K2122" s="1">
        <f t="shared" ref="K2122" si="3034">(IF(F2122="SELL",G2122-H2122,IF(F2122="BUY",H2122-G2122)))*E2122</f>
        <v>1800</v>
      </c>
      <c r="L2122" s="51">
        <f t="shared" ref="L2122" si="3035">(IF(F2122="SELL",IF(I2122="",0,H2122-I2122),IF(F2122="BUY",IF(I2122="",0,I2122-H2122))))*E2122</f>
        <v>2400</v>
      </c>
      <c r="M2122" s="52">
        <f>(IF(F2122="SELL",IF(J2122="",0,I2122-J2122),IF(F2122="BUY",IF(J2122="",0,(J2122-I2122)))))*E2122</f>
        <v>3000</v>
      </c>
      <c r="N2122" s="2">
        <f t="shared" si="2966"/>
        <v>12</v>
      </c>
      <c r="O2122" s="2">
        <f t="shared" si="2978"/>
        <v>7200</v>
      </c>
      <c r="P2122" s="13"/>
      <c r="Q2122" s="13"/>
      <c r="R2122" s="13"/>
      <c r="S2122" s="13"/>
      <c r="T2122" s="13"/>
      <c r="U2122" s="13"/>
      <c r="V2122" s="13"/>
      <c r="W2122" s="13"/>
      <c r="X2122" s="13"/>
      <c r="Y2122" s="13"/>
      <c r="Z2122" s="13"/>
      <c r="AA2122" s="13"/>
      <c r="AB2122" s="13"/>
      <c r="AC2122" s="13"/>
      <c r="AD2122" s="13"/>
      <c r="AE2122" s="13"/>
      <c r="AF2122" s="13"/>
      <c r="AG2122" s="13"/>
    </row>
    <row r="2123" spans="1:33" s="14" customFormat="1" ht="15" customHeight="1">
      <c r="A2123" s="10">
        <v>43098</v>
      </c>
      <c r="B2123" s="3" t="s">
        <v>263</v>
      </c>
      <c r="C2123" s="15" t="s">
        <v>47</v>
      </c>
      <c r="D2123" s="15">
        <v>125</v>
      </c>
      <c r="E2123" s="11">
        <v>6000</v>
      </c>
      <c r="F2123" s="3" t="s">
        <v>8</v>
      </c>
      <c r="G2123" s="46">
        <v>6.3</v>
      </c>
      <c r="H2123" s="3">
        <v>6.7</v>
      </c>
      <c r="I2123" s="46">
        <v>7.3</v>
      </c>
      <c r="J2123" s="55">
        <v>0</v>
      </c>
      <c r="K2123" s="1">
        <f t="shared" ref="K2123" si="3036">(IF(F2123="SELL",G2123-H2123,IF(F2123="BUY",H2123-G2123)))*E2123</f>
        <v>2400.0000000000023</v>
      </c>
      <c r="L2123" s="51">
        <f t="shared" ref="L2123" si="3037">(IF(F2123="SELL",IF(I2123="",0,H2123-I2123),IF(F2123="BUY",IF(I2123="",0,I2123-H2123))))*E2123</f>
        <v>3599.9999999999977</v>
      </c>
      <c r="M2123" s="52">
        <v>0</v>
      </c>
      <c r="N2123" s="2">
        <f t="shared" si="2966"/>
        <v>1</v>
      </c>
      <c r="O2123" s="2">
        <f t="shared" si="2978"/>
        <v>6000</v>
      </c>
      <c r="P2123" s="13"/>
      <c r="Q2123" s="13"/>
      <c r="R2123" s="13"/>
      <c r="S2123" s="13"/>
      <c r="T2123" s="13"/>
      <c r="U2123" s="13"/>
      <c r="V2123" s="13"/>
      <c r="W2123" s="13"/>
      <c r="X2123" s="13"/>
      <c r="Y2123" s="13"/>
      <c r="Z2123" s="13"/>
      <c r="AA2123" s="13"/>
      <c r="AB2123" s="13"/>
      <c r="AC2123" s="13"/>
      <c r="AD2123" s="13"/>
      <c r="AE2123" s="13"/>
      <c r="AF2123" s="13"/>
      <c r="AG2123" s="13"/>
    </row>
    <row r="2124" spans="1:33" s="14" customFormat="1" ht="15" customHeight="1">
      <c r="A2124" s="10">
        <v>43098</v>
      </c>
      <c r="B2124" s="3" t="s">
        <v>262</v>
      </c>
      <c r="C2124" s="15" t="s">
        <v>47</v>
      </c>
      <c r="D2124" s="15">
        <v>1500</v>
      </c>
      <c r="E2124" s="11">
        <v>600</v>
      </c>
      <c r="F2124" s="3" t="s">
        <v>8</v>
      </c>
      <c r="G2124" s="46">
        <v>40</v>
      </c>
      <c r="H2124" s="3">
        <v>43</v>
      </c>
      <c r="I2124" s="46">
        <v>0</v>
      </c>
      <c r="J2124" s="55">
        <v>0</v>
      </c>
      <c r="K2124" s="1">
        <f t="shared" ref="K2124" si="3038">(IF(F2124="SELL",G2124-H2124,IF(F2124="BUY",H2124-G2124)))*E2124</f>
        <v>1800</v>
      </c>
      <c r="L2124" s="51">
        <v>0</v>
      </c>
      <c r="M2124" s="52">
        <v>0</v>
      </c>
      <c r="N2124" s="2">
        <f t="shared" si="2966"/>
        <v>3</v>
      </c>
      <c r="O2124" s="2">
        <f t="shared" si="2978"/>
        <v>1800</v>
      </c>
      <c r="P2124" s="13"/>
      <c r="Q2124" s="13"/>
      <c r="R2124" s="13"/>
      <c r="S2124" s="13"/>
      <c r="T2124" s="13"/>
      <c r="U2124" s="13"/>
      <c r="V2124" s="13"/>
      <c r="W2124" s="13"/>
      <c r="X2124" s="13"/>
      <c r="Y2124" s="13"/>
      <c r="Z2124" s="13"/>
      <c r="AA2124" s="13"/>
      <c r="AB2124" s="13"/>
      <c r="AC2124" s="13"/>
      <c r="AD2124" s="13"/>
      <c r="AE2124" s="13"/>
      <c r="AF2124" s="13"/>
      <c r="AG2124" s="13"/>
    </row>
    <row r="2125" spans="1:33" s="14" customFormat="1" ht="15" customHeight="1">
      <c r="A2125" s="10">
        <v>43098</v>
      </c>
      <c r="B2125" s="3" t="s">
        <v>156</v>
      </c>
      <c r="C2125" s="15" t="s">
        <v>47</v>
      </c>
      <c r="D2125" s="15">
        <v>580</v>
      </c>
      <c r="E2125" s="11">
        <v>2000</v>
      </c>
      <c r="F2125" s="3" t="s">
        <v>8</v>
      </c>
      <c r="G2125" s="46">
        <v>15.5</v>
      </c>
      <c r="H2125" s="3">
        <v>16.5</v>
      </c>
      <c r="I2125" s="46">
        <v>0</v>
      </c>
      <c r="J2125" s="55">
        <v>0</v>
      </c>
      <c r="K2125" s="1">
        <f t="shared" ref="K2125" si="3039">(IF(F2125="SELL",G2125-H2125,IF(F2125="BUY",H2125-G2125)))*E2125</f>
        <v>2000</v>
      </c>
      <c r="L2125" s="51">
        <v>0</v>
      </c>
      <c r="M2125" s="52">
        <v>0</v>
      </c>
      <c r="N2125" s="2">
        <f t="shared" si="2966"/>
        <v>1</v>
      </c>
      <c r="O2125" s="2">
        <f t="shared" si="2978"/>
        <v>2000</v>
      </c>
      <c r="P2125" s="13"/>
      <c r="Q2125" s="13"/>
      <c r="R2125" s="13"/>
      <c r="S2125" s="13"/>
      <c r="T2125" s="13"/>
      <c r="U2125" s="13"/>
      <c r="V2125" s="13"/>
      <c r="W2125" s="13"/>
      <c r="X2125" s="13"/>
      <c r="Y2125" s="13"/>
      <c r="Z2125" s="13"/>
      <c r="AA2125" s="13"/>
      <c r="AB2125" s="13"/>
      <c r="AC2125" s="13"/>
      <c r="AD2125" s="13"/>
      <c r="AE2125" s="13"/>
      <c r="AF2125" s="13"/>
      <c r="AG2125" s="13"/>
    </row>
    <row r="2126" spans="1:33" s="14" customFormat="1" ht="15" customHeight="1">
      <c r="A2126" s="10">
        <v>43097</v>
      </c>
      <c r="B2126" s="3" t="s">
        <v>222</v>
      </c>
      <c r="C2126" s="15" t="s">
        <v>47</v>
      </c>
      <c r="D2126" s="15">
        <v>1240</v>
      </c>
      <c r="E2126" s="11">
        <v>500</v>
      </c>
      <c r="F2126" s="3" t="s">
        <v>8</v>
      </c>
      <c r="G2126" s="46">
        <v>12.5</v>
      </c>
      <c r="H2126" s="3">
        <v>16</v>
      </c>
      <c r="I2126" s="46">
        <v>20</v>
      </c>
      <c r="J2126" s="55">
        <v>0</v>
      </c>
      <c r="K2126" s="1">
        <f t="shared" ref="K2126" si="3040">(IF(F2126="SELL",G2126-H2126,IF(F2126="BUY",H2126-G2126)))*E2126</f>
        <v>1750</v>
      </c>
      <c r="L2126" s="51">
        <f t="shared" ref="L2126" si="3041">(IF(F2126="SELL",IF(I2126="",0,H2126-I2126),IF(F2126="BUY",IF(I2126="",0,I2126-H2126))))*E2126</f>
        <v>2000</v>
      </c>
      <c r="M2126" s="52">
        <v>0</v>
      </c>
      <c r="N2126" s="2">
        <f t="shared" si="2966"/>
        <v>7.5</v>
      </c>
      <c r="O2126" s="2">
        <f t="shared" si="2978"/>
        <v>3750</v>
      </c>
      <c r="P2126" s="13"/>
      <c r="Q2126" s="13"/>
      <c r="R2126" s="13"/>
      <c r="S2126" s="13"/>
      <c r="T2126" s="13"/>
      <c r="U2126" s="13"/>
      <c r="V2126" s="13"/>
      <c r="W2126" s="13"/>
      <c r="X2126" s="13"/>
      <c r="Y2126" s="13"/>
      <c r="Z2126" s="13"/>
      <c r="AA2126" s="13"/>
      <c r="AB2126" s="13"/>
      <c r="AC2126" s="13"/>
      <c r="AD2126" s="13"/>
      <c r="AE2126" s="13"/>
      <c r="AF2126" s="13"/>
      <c r="AG2126" s="13"/>
    </row>
    <row r="2127" spans="1:33" s="14" customFormat="1" ht="15" customHeight="1">
      <c r="A2127" s="10">
        <v>43095</v>
      </c>
      <c r="B2127" s="3" t="s">
        <v>239</v>
      </c>
      <c r="C2127" s="15" t="s">
        <v>47</v>
      </c>
      <c r="D2127" s="15">
        <v>250</v>
      </c>
      <c r="E2127" s="11">
        <v>5000</v>
      </c>
      <c r="F2127" s="3" t="s">
        <v>8</v>
      </c>
      <c r="G2127" s="46">
        <v>5.5</v>
      </c>
      <c r="H2127" s="3">
        <v>6</v>
      </c>
      <c r="I2127" s="46">
        <v>6.5</v>
      </c>
      <c r="J2127" s="55">
        <v>0</v>
      </c>
      <c r="K2127" s="1">
        <f t="shared" ref="K2127" si="3042">(IF(F2127="SELL",G2127-H2127,IF(F2127="BUY",H2127-G2127)))*E2127</f>
        <v>2500</v>
      </c>
      <c r="L2127" s="51">
        <f t="shared" ref="L2127" si="3043">(IF(F2127="SELL",IF(I2127="",0,H2127-I2127),IF(F2127="BUY",IF(I2127="",0,I2127-H2127))))*E2127</f>
        <v>2500</v>
      </c>
      <c r="M2127" s="52">
        <v>0</v>
      </c>
      <c r="N2127" s="2">
        <f t="shared" si="2966"/>
        <v>1</v>
      </c>
      <c r="O2127" s="2">
        <f t="shared" si="2978"/>
        <v>5000</v>
      </c>
      <c r="P2127" s="13"/>
      <c r="Q2127" s="13"/>
      <c r="R2127" s="13"/>
      <c r="S2127" s="13"/>
      <c r="T2127" s="13"/>
      <c r="U2127" s="13"/>
      <c r="V2127" s="13"/>
      <c r="W2127" s="13"/>
      <c r="X2127" s="13"/>
      <c r="Y2127" s="13"/>
      <c r="Z2127" s="13"/>
      <c r="AA2127" s="13"/>
      <c r="AB2127" s="13"/>
      <c r="AC2127" s="13"/>
      <c r="AD2127" s="13"/>
      <c r="AE2127" s="13"/>
      <c r="AF2127" s="13"/>
      <c r="AG2127" s="13"/>
    </row>
    <row r="2128" spans="1:33" s="14" customFormat="1" ht="15" customHeight="1">
      <c r="A2128" s="10">
        <v>43095</v>
      </c>
      <c r="B2128" s="3" t="s">
        <v>260</v>
      </c>
      <c r="C2128" s="15" t="s">
        <v>47</v>
      </c>
      <c r="D2128" s="15">
        <v>150</v>
      </c>
      <c r="E2128" s="11">
        <v>4500</v>
      </c>
      <c r="F2128" s="3" t="s">
        <v>8</v>
      </c>
      <c r="G2128" s="46">
        <v>3.3</v>
      </c>
      <c r="H2128" s="3">
        <v>3.8</v>
      </c>
      <c r="I2128" s="46">
        <v>0</v>
      </c>
      <c r="J2128" s="55">
        <v>0</v>
      </c>
      <c r="K2128" s="1">
        <f t="shared" ref="K2128" si="3044">(IF(F2128="SELL",G2128-H2128,IF(F2128="BUY",H2128-G2128)))*E2128</f>
        <v>2250</v>
      </c>
      <c r="L2128" s="51">
        <v>0</v>
      </c>
      <c r="M2128" s="52">
        <f>(IF(F2128="SELL",IF(J2128="",0,I2128-J2128),IF(F2128="BUY",IF(J2128="",0,(J2128-I2128)))))*E2128</f>
        <v>0</v>
      </c>
      <c r="N2128" s="2">
        <f t="shared" si="2966"/>
        <v>0.5</v>
      </c>
      <c r="O2128" s="2">
        <f t="shared" si="2978"/>
        <v>2250</v>
      </c>
      <c r="P2128" s="13"/>
      <c r="Q2128" s="13"/>
      <c r="R2128" s="13"/>
      <c r="S2128" s="13"/>
      <c r="T2128" s="13"/>
      <c r="U2128" s="13"/>
      <c r="V2128" s="13"/>
      <c r="W2128" s="13"/>
      <c r="X2128" s="13"/>
      <c r="Y2128" s="13"/>
      <c r="Z2128" s="13"/>
      <c r="AA2128" s="13"/>
      <c r="AB2128" s="13"/>
      <c r="AC2128" s="13"/>
      <c r="AD2128" s="13"/>
      <c r="AE2128" s="13"/>
      <c r="AF2128" s="13"/>
      <c r="AG2128" s="13"/>
    </row>
    <row r="2129" spans="1:33" s="14" customFormat="1" ht="15" customHeight="1">
      <c r="A2129" s="10">
        <v>43091</v>
      </c>
      <c r="B2129" s="3" t="s">
        <v>253</v>
      </c>
      <c r="C2129" s="15" t="s">
        <v>47</v>
      </c>
      <c r="D2129" s="15">
        <v>590</v>
      </c>
      <c r="E2129" s="11">
        <v>1200</v>
      </c>
      <c r="F2129" s="3" t="s">
        <v>8</v>
      </c>
      <c r="G2129" s="46">
        <v>7.7</v>
      </c>
      <c r="H2129" s="3">
        <v>9.5</v>
      </c>
      <c r="I2129" s="46">
        <v>12</v>
      </c>
      <c r="J2129" s="55">
        <v>14</v>
      </c>
      <c r="K2129" s="1">
        <f t="shared" ref="K2129" si="3045">(IF(F2129="SELL",G2129-H2129,IF(F2129="BUY",H2129-G2129)))*E2129</f>
        <v>2160</v>
      </c>
      <c r="L2129" s="51">
        <f t="shared" ref="L2129" si="3046">(IF(F2129="SELL",IF(I2129="",0,H2129-I2129),IF(F2129="BUY",IF(I2129="",0,I2129-H2129))))*E2129</f>
        <v>3000</v>
      </c>
      <c r="M2129" s="52">
        <f>(IF(F2129="SELL",IF(J2129="",0,I2129-J2129),IF(F2129="BUY",IF(J2129="",0,(J2129-I2129)))))*E2129</f>
        <v>2400</v>
      </c>
      <c r="N2129" s="2">
        <f t="shared" si="2966"/>
        <v>6.3</v>
      </c>
      <c r="O2129" s="2">
        <f t="shared" si="2978"/>
        <v>7560</v>
      </c>
      <c r="P2129" s="13"/>
      <c r="Q2129" s="13"/>
      <c r="R2129" s="13"/>
      <c r="S2129" s="13"/>
      <c r="T2129" s="13"/>
      <c r="U2129" s="13"/>
      <c r="V2129" s="13"/>
      <c r="W2129" s="13"/>
      <c r="X2129" s="13"/>
      <c r="Y2129" s="13"/>
      <c r="Z2129" s="13"/>
      <c r="AA2129" s="13"/>
      <c r="AB2129" s="13"/>
      <c r="AC2129" s="13"/>
      <c r="AD2129" s="13"/>
      <c r="AE2129" s="13"/>
      <c r="AF2129" s="13"/>
      <c r="AG2129" s="13"/>
    </row>
    <row r="2130" spans="1:33" s="14" customFormat="1" ht="15" customHeight="1">
      <c r="A2130" s="10">
        <v>43091</v>
      </c>
      <c r="B2130" s="3" t="s">
        <v>234</v>
      </c>
      <c r="C2130" s="15" t="s">
        <v>47</v>
      </c>
      <c r="D2130" s="15">
        <v>305</v>
      </c>
      <c r="E2130" s="11">
        <v>4500</v>
      </c>
      <c r="F2130" s="3" t="s">
        <v>8</v>
      </c>
      <c r="G2130" s="46">
        <v>5.2</v>
      </c>
      <c r="H2130" s="3">
        <v>6</v>
      </c>
      <c r="I2130" s="46">
        <v>0</v>
      </c>
      <c r="J2130" s="55">
        <v>0</v>
      </c>
      <c r="K2130" s="1">
        <f t="shared" ref="K2130" si="3047">(IF(F2130="SELL",G2130-H2130,IF(F2130="BUY",H2130-G2130)))*E2130</f>
        <v>3599.9999999999991</v>
      </c>
      <c r="L2130" s="51">
        <v>0</v>
      </c>
      <c r="M2130" s="52">
        <v>0</v>
      </c>
      <c r="N2130" s="2">
        <f t="shared" si="2966"/>
        <v>0.79999999999999982</v>
      </c>
      <c r="O2130" s="2">
        <f t="shared" si="2978"/>
        <v>3599.9999999999991</v>
      </c>
      <c r="P2130" s="13"/>
      <c r="Q2130" s="13"/>
      <c r="R2130" s="13"/>
      <c r="S2130" s="13"/>
      <c r="T2130" s="13"/>
      <c r="U2130" s="13"/>
      <c r="V2130" s="13"/>
      <c r="W2130" s="13"/>
      <c r="X2130" s="13"/>
      <c r="Y2130" s="13"/>
      <c r="Z2130" s="13"/>
      <c r="AA2130" s="13"/>
      <c r="AB2130" s="13"/>
      <c r="AC2130" s="13"/>
      <c r="AD2130" s="13"/>
      <c r="AE2130" s="13"/>
      <c r="AF2130" s="13"/>
      <c r="AG2130" s="13"/>
    </row>
    <row r="2131" spans="1:33" s="14" customFormat="1" ht="15" customHeight="1">
      <c r="A2131" s="10">
        <v>43091</v>
      </c>
      <c r="B2131" s="3" t="s">
        <v>261</v>
      </c>
      <c r="C2131" s="15" t="s">
        <v>47</v>
      </c>
      <c r="D2131" s="15">
        <v>130</v>
      </c>
      <c r="E2131" s="11">
        <v>4500</v>
      </c>
      <c r="F2131" s="3" t="s">
        <v>8</v>
      </c>
      <c r="G2131" s="46">
        <v>2.2000000000000002</v>
      </c>
      <c r="H2131" s="3">
        <v>2.6</v>
      </c>
      <c r="I2131" s="46">
        <v>0</v>
      </c>
      <c r="J2131" s="55">
        <v>0</v>
      </c>
      <c r="K2131" s="1">
        <f t="shared" ref="K2131" si="3048">(IF(F2131="SELL",G2131-H2131,IF(F2131="BUY",H2131-G2131)))*E2131</f>
        <v>1799.9999999999995</v>
      </c>
      <c r="L2131" s="51">
        <v>0</v>
      </c>
      <c r="M2131" s="52">
        <v>0</v>
      </c>
      <c r="N2131" s="2">
        <f t="shared" si="2966"/>
        <v>0.39999999999999991</v>
      </c>
      <c r="O2131" s="2">
        <f t="shared" si="2978"/>
        <v>1799.9999999999995</v>
      </c>
      <c r="P2131" s="13"/>
      <c r="Q2131" s="13"/>
      <c r="R2131" s="13"/>
      <c r="S2131" s="13"/>
      <c r="T2131" s="13"/>
      <c r="U2131" s="13"/>
      <c r="V2131" s="13"/>
      <c r="W2131" s="13"/>
      <c r="X2131" s="13"/>
      <c r="Y2131" s="13"/>
      <c r="Z2131" s="13"/>
      <c r="AA2131" s="13"/>
      <c r="AB2131" s="13"/>
      <c r="AC2131" s="13"/>
      <c r="AD2131" s="13"/>
      <c r="AE2131" s="13"/>
      <c r="AF2131" s="13"/>
      <c r="AG2131" s="13"/>
    </row>
    <row r="2132" spans="1:33" s="14" customFormat="1" ht="15" customHeight="1">
      <c r="A2132" s="10">
        <v>43090</v>
      </c>
      <c r="B2132" s="3" t="s">
        <v>260</v>
      </c>
      <c r="C2132" s="15" t="s">
        <v>47</v>
      </c>
      <c r="D2132" s="15">
        <v>150</v>
      </c>
      <c r="E2132" s="11">
        <v>4500</v>
      </c>
      <c r="F2132" s="3" t="s">
        <v>8</v>
      </c>
      <c r="G2132" s="46">
        <v>3</v>
      </c>
      <c r="H2132" s="3">
        <v>3.5</v>
      </c>
      <c r="I2132" s="46">
        <v>0</v>
      </c>
      <c r="J2132" s="55">
        <v>0</v>
      </c>
      <c r="K2132" s="1">
        <f t="shared" ref="K2132" si="3049">(IF(F2132="SELL",G2132-H2132,IF(F2132="BUY",H2132-G2132)))*E2132</f>
        <v>2250</v>
      </c>
      <c r="L2132" s="51">
        <v>0</v>
      </c>
      <c r="M2132" s="52">
        <v>0</v>
      </c>
      <c r="N2132" s="2">
        <f t="shared" si="2966"/>
        <v>0.5</v>
      </c>
      <c r="O2132" s="2">
        <f t="shared" si="2978"/>
        <v>2250</v>
      </c>
      <c r="P2132" s="13"/>
      <c r="Q2132" s="13"/>
      <c r="R2132" s="13"/>
      <c r="S2132" s="13"/>
      <c r="T2132" s="13"/>
      <c r="U2132" s="13"/>
      <c r="V2132" s="13"/>
      <c r="W2132" s="13"/>
      <c r="X2132" s="13"/>
      <c r="Y2132" s="13"/>
      <c r="Z2132" s="13"/>
      <c r="AA2132" s="13"/>
      <c r="AB2132" s="13"/>
      <c r="AC2132" s="13"/>
      <c r="AD2132" s="13"/>
      <c r="AE2132" s="13"/>
      <c r="AF2132" s="13"/>
      <c r="AG2132" s="13"/>
    </row>
    <row r="2133" spans="1:33" s="14" customFormat="1" ht="15" customHeight="1">
      <c r="A2133" s="10">
        <v>43090</v>
      </c>
      <c r="B2133" s="3" t="s">
        <v>250</v>
      </c>
      <c r="C2133" s="15" t="s">
        <v>47</v>
      </c>
      <c r="D2133" s="15">
        <v>1460</v>
      </c>
      <c r="E2133" s="11">
        <v>600</v>
      </c>
      <c r="F2133" s="3" t="s">
        <v>8</v>
      </c>
      <c r="G2133" s="46">
        <v>21</v>
      </c>
      <c r="H2133" s="3">
        <v>24</v>
      </c>
      <c r="I2133" s="46">
        <v>0</v>
      </c>
      <c r="J2133" s="55">
        <v>0</v>
      </c>
      <c r="K2133" s="1">
        <f t="shared" ref="K2133" si="3050">(IF(F2133="SELL",G2133-H2133,IF(F2133="BUY",H2133-G2133)))*E2133</f>
        <v>1800</v>
      </c>
      <c r="L2133" s="51">
        <v>0</v>
      </c>
      <c r="M2133" s="52">
        <v>0</v>
      </c>
      <c r="N2133" s="2">
        <f t="shared" ref="N2133:N2196" si="3051">(L2133+K2133+M2133)/E2133</f>
        <v>3</v>
      </c>
      <c r="O2133" s="2">
        <f t="shared" si="2978"/>
        <v>1800</v>
      </c>
      <c r="P2133" s="13"/>
      <c r="Q2133" s="13"/>
      <c r="R2133" s="13"/>
      <c r="S2133" s="13"/>
      <c r="T2133" s="13"/>
      <c r="U2133" s="13"/>
      <c r="V2133" s="13"/>
      <c r="W2133" s="13"/>
      <c r="X2133" s="13"/>
      <c r="Y2133" s="13"/>
      <c r="Z2133" s="13"/>
      <c r="AA2133" s="13"/>
      <c r="AB2133" s="13"/>
      <c r="AC2133" s="13"/>
      <c r="AD2133" s="13"/>
      <c r="AE2133" s="13"/>
      <c r="AF2133" s="13"/>
      <c r="AG2133" s="13"/>
    </row>
    <row r="2134" spans="1:33" s="14" customFormat="1" ht="15" customHeight="1">
      <c r="A2134" s="10">
        <v>43089</v>
      </c>
      <c r="B2134" s="3" t="s">
        <v>260</v>
      </c>
      <c r="C2134" s="15" t="s">
        <v>47</v>
      </c>
      <c r="D2134" s="15">
        <v>150</v>
      </c>
      <c r="E2134" s="11">
        <v>4500</v>
      </c>
      <c r="F2134" s="3" t="s">
        <v>8</v>
      </c>
      <c r="G2134" s="46">
        <v>2.7</v>
      </c>
      <c r="H2134" s="3">
        <v>2.7</v>
      </c>
      <c r="I2134" s="46">
        <v>0</v>
      </c>
      <c r="J2134" s="55">
        <v>0</v>
      </c>
      <c r="K2134" s="1">
        <f t="shared" ref="K2134" si="3052">(IF(F2134="SELL",G2134-H2134,IF(F2134="BUY",H2134-G2134)))*E2134</f>
        <v>0</v>
      </c>
      <c r="L2134" s="51">
        <v>0</v>
      </c>
      <c r="M2134" s="52">
        <v>0</v>
      </c>
      <c r="N2134" s="2">
        <f t="shared" si="3051"/>
        <v>0</v>
      </c>
      <c r="O2134" s="2">
        <f t="shared" si="2978"/>
        <v>0</v>
      </c>
      <c r="P2134" s="13"/>
      <c r="Q2134" s="13"/>
      <c r="R2134" s="13"/>
      <c r="S2134" s="13"/>
      <c r="T2134" s="13"/>
      <c r="U2134" s="13"/>
      <c r="V2134" s="13"/>
      <c r="W2134" s="13"/>
      <c r="X2134" s="13"/>
      <c r="Y2134" s="13"/>
      <c r="Z2134" s="13"/>
      <c r="AA2134" s="13"/>
      <c r="AB2134" s="13"/>
      <c r="AC2134" s="13"/>
      <c r="AD2134" s="13"/>
      <c r="AE2134" s="13"/>
      <c r="AF2134" s="13"/>
      <c r="AG2134" s="13"/>
    </row>
    <row r="2135" spans="1:33" s="14" customFormat="1" ht="15" customHeight="1">
      <c r="A2135" s="10">
        <v>43089</v>
      </c>
      <c r="B2135" s="3" t="s">
        <v>91</v>
      </c>
      <c r="C2135" s="15" t="s">
        <v>46</v>
      </c>
      <c r="D2135" s="15">
        <v>250</v>
      </c>
      <c r="E2135" s="11">
        <v>3000</v>
      </c>
      <c r="F2135" s="3" t="s">
        <v>8</v>
      </c>
      <c r="G2135" s="46">
        <v>3.05</v>
      </c>
      <c r="H2135" s="3">
        <v>3.55</v>
      </c>
      <c r="I2135" s="46">
        <v>28</v>
      </c>
      <c r="J2135" s="55">
        <v>0</v>
      </c>
      <c r="K2135" s="1">
        <f t="shared" ref="K2135" si="3053">(IF(F2135="SELL",G2135-H2135,IF(F2135="BUY",H2135-G2135)))*E2135</f>
        <v>1500</v>
      </c>
      <c r="L2135" s="51">
        <v>0</v>
      </c>
      <c r="M2135" s="52">
        <v>0</v>
      </c>
      <c r="N2135" s="2">
        <f t="shared" si="3051"/>
        <v>0.5</v>
      </c>
      <c r="O2135" s="2">
        <f t="shared" si="2978"/>
        <v>1500</v>
      </c>
      <c r="P2135" s="13"/>
      <c r="Q2135" s="13"/>
      <c r="R2135" s="13"/>
      <c r="S2135" s="13"/>
      <c r="T2135" s="13"/>
      <c r="U2135" s="13"/>
      <c r="V2135" s="13"/>
      <c r="W2135" s="13"/>
      <c r="X2135" s="13"/>
      <c r="Y2135" s="13"/>
      <c r="Z2135" s="13"/>
      <c r="AA2135" s="13"/>
      <c r="AB2135" s="13"/>
      <c r="AC2135" s="13"/>
      <c r="AD2135" s="13"/>
      <c r="AE2135" s="13"/>
      <c r="AF2135" s="13"/>
      <c r="AG2135" s="13"/>
    </row>
    <row r="2136" spans="1:33" s="14" customFormat="1" ht="15" customHeight="1">
      <c r="A2136" s="10">
        <v>43088</v>
      </c>
      <c r="B2136" s="3" t="s">
        <v>250</v>
      </c>
      <c r="C2136" s="15" t="s">
        <v>47</v>
      </c>
      <c r="D2136" s="15">
        <v>1460</v>
      </c>
      <c r="E2136" s="11">
        <v>600</v>
      </c>
      <c r="F2136" s="3" t="s">
        <v>8</v>
      </c>
      <c r="G2136" s="46">
        <v>21</v>
      </c>
      <c r="H2136" s="3">
        <v>24</v>
      </c>
      <c r="I2136" s="46">
        <v>28</v>
      </c>
      <c r="J2136" s="55">
        <v>0</v>
      </c>
      <c r="K2136" s="1">
        <f t="shared" ref="K2136" si="3054">(IF(F2136="SELL",G2136-H2136,IF(F2136="BUY",H2136-G2136)))*E2136</f>
        <v>1800</v>
      </c>
      <c r="L2136" s="51">
        <f t="shared" ref="L2136" si="3055">(IF(F2136="SELL",IF(I2136="",0,H2136-I2136),IF(F2136="BUY",IF(I2136="",0,I2136-H2136))))*E2136</f>
        <v>2400</v>
      </c>
      <c r="M2136" s="52">
        <v>0</v>
      </c>
      <c r="N2136" s="2">
        <f t="shared" si="3051"/>
        <v>7</v>
      </c>
      <c r="O2136" s="2">
        <f t="shared" si="2978"/>
        <v>4200</v>
      </c>
      <c r="P2136" s="13"/>
      <c r="Q2136" s="13"/>
      <c r="R2136" s="13"/>
      <c r="S2136" s="13"/>
      <c r="T2136" s="13"/>
      <c r="U2136" s="13"/>
      <c r="V2136" s="13"/>
      <c r="W2136" s="13"/>
      <c r="X2136" s="13"/>
      <c r="Y2136" s="13"/>
      <c r="Z2136" s="13"/>
      <c r="AA2136" s="13"/>
      <c r="AB2136" s="13"/>
      <c r="AC2136" s="13"/>
      <c r="AD2136" s="13"/>
      <c r="AE2136" s="13"/>
      <c r="AF2136" s="13"/>
      <c r="AG2136" s="13"/>
    </row>
    <row r="2137" spans="1:33" s="14" customFormat="1" ht="15" customHeight="1">
      <c r="A2137" s="10">
        <v>43088</v>
      </c>
      <c r="B2137" s="3" t="s">
        <v>259</v>
      </c>
      <c r="C2137" s="15" t="s">
        <v>47</v>
      </c>
      <c r="D2137" s="15">
        <v>460</v>
      </c>
      <c r="E2137" s="11">
        <v>1500</v>
      </c>
      <c r="F2137" s="3" t="s">
        <v>8</v>
      </c>
      <c r="G2137" s="46">
        <v>12</v>
      </c>
      <c r="H2137" s="3">
        <v>13</v>
      </c>
      <c r="I2137" s="46">
        <v>0</v>
      </c>
      <c r="J2137" s="55">
        <v>0</v>
      </c>
      <c r="K2137" s="1">
        <f t="shared" ref="K2137" si="3056">(IF(F2137="SELL",G2137-H2137,IF(F2137="BUY",H2137-G2137)))*E2137</f>
        <v>1500</v>
      </c>
      <c r="L2137" s="51">
        <v>0</v>
      </c>
      <c r="M2137" s="52">
        <v>0</v>
      </c>
      <c r="N2137" s="2">
        <f t="shared" si="3051"/>
        <v>1</v>
      </c>
      <c r="O2137" s="2">
        <f t="shared" si="2978"/>
        <v>1500</v>
      </c>
      <c r="P2137" s="13"/>
      <c r="Q2137" s="13"/>
      <c r="R2137" s="13"/>
      <c r="S2137" s="13"/>
      <c r="T2137" s="13"/>
      <c r="U2137" s="13"/>
      <c r="V2137" s="13"/>
      <c r="W2137" s="13"/>
      <c r="X2137" s="13"/>
      <c r="Y2137" s="13"/>
      <c r="Z2137" s="13"/>
      <c r="AA2137" s="13"/>
      <c r="AB2137" s="13"/>
      <c r="AC2137" s="13"/>
      <c r="AD2137" s="13"/>
      <c r="AE2137" s="13"/>
      <c r="AF2137" s="13"/>
      <c r="AG2137" s="13"/>
    </row>
    <row r="2138" spans="1:33" s="14" customFormat="1" ht="15" customHeight="1">
      <c r="A2138" s="10">
        <v>43084</v>
      </c>
      <c r="B2138" s="3" t="s">
        <v>250</v>
      </c>
      <c r="C2138" s="15" t="s">
        <v>47</v>
      </c>
      <c r="D2138" s="15">
        <v>1420</v>
      </c>
      <c r="E2138" s="11">
        <v>600</v>
      </c>
      <c r="F2138" s="3" t="s">
        <v>8</v>
      </c>
      <c r="G2138" s="46">
        <v>35</v>
      </c>
      <c r="H2138" s="3">
        <v>38</v>
      </c>
      <c r="I2138" s="46">
        <v>0</v>
      </c>
      <c r="J2138" s="55">
        <v>0</v>
      </c>
      <c r="K2138" s="1">
        <f t="shared" ref="K2138" si="3057">(IF(F2138="SELL",G2138-H2138,IF(F2138="BUY",H2138-G2138)))*E2138</f>
        <v>1800</v>
      </c>
      <c r="L2138" s="51">
        <v>0</v>
      </c>
      <c r="M2138" s="52">
        <v>0</v>
      </c>
      <c r="N2138" s="2">
        <f t="shared" si="3051"/>
        <v>3</v>
      </c>
      <c r="O2138" s="2">
        <f t="shared" si="2978"/>
        <v>1800</v>
      </c>
      <c r="P2138" s="13"/>
      <c r="Q2138" s="13"/>
      <c r="R2138" s="13"/>
      <c r="S2138" s="13"/>
      <c r="T2138" s="13"/>
      <c r="U2138" s="13"/>
      <c r="V2138" s="13"/>
      <c r="W2138" s="13"/>
      <c r="X2138" s="13"/>
      <c r="Y2138" s="13"/>
      <c r="Z2138" s="13"/>
      <c r="AA2138" s="13"/>
      <c r="AB2138" s="13"/>
      <c r="AC2138" s="13"/>
      <c r="AD2138" s="13"/>
      <c r="AE2138" s="13"/>
      <c r="AF2138" s="13"/>
      <c r="AG2138" s="13"/>
    </row>
    <row r="2139" spans="1:33" s="14" customFormat="1" ht="15" customHeight="1">
      <c r="A2139" s="10">
        <v>43084</v>
      </c>
      <c r="B2139" s="3" t="s">
        <v>258</v>
      </c>
      <c r="C2139" s="15" t="s">
        <v>47</v>
      </c>
      <c r="D2139" s="15">
        <v>185</v>
      </c>
      <c r="E2139" s="11">
        <v>6000</v>
      </c>
      <c r="F2139" s="3" t="s">
        <v>8</v>
      </c>
      <c r="G2139" s="46">
        <v>3.8</v>
      </c>
      <c r="H2139" s="3">
        <v>4.2</v>
      </c>
      <c r="I2139" s="46">
        <v>4.9000000000000004</v>
      </c>
      <c r="J2139" s="55">
        <v>0</v>
      </c>
      <c r="K2139" s="1">
        <f t="shared" ref="K2139" si="3058">(IF(F2139="SELL",G2139-H2139,IF(F2139="BUY",H2139-G2139)))*E2139</f>
        <v>2400.0000000000023</v>
      </c>
      <c r="L2139" s="51">
        <f t="shared" ref="L2139:L2141" si="3059">(IF(F2139="SELL",IF(I2139="",0,H2139-I2139),IF(F2139="BUY",IF(I2139="",0,I2139-H2139))))*E2139</f>
        <v>4200.0000000000009</v>
      </c>
      <c r="M2139" s="52">
        <v>0</v>
      </c>
      <c r="N2139" s="2">
        <f t="shared" si="3051"/>
        <v>1.1000000000000005</v>
      </c>
      <c r="O2139" s="2">
        <f t="shared" si="2978"/>
        <v>6600.0000000000036</v>
      </c>
      <c r="P2139" s="13"/>
      <c r="Q2139" s="13"/>
      <c r="R2139" s="13"/>
      <c r="S2139" s="13"/>
      <c r="T2139" s="13"/>
      <c r="U2139" s="13"/>
      <c r="V2139" s="13"/>
      <c r="W2139" s="13"/>
      <c r="X2139" s="13"/>
      <c r="Y2139" s="13"/>
      <c r="Z2139" s="13"/>
      <c r="AA2139" s="13"/>
      <c r="AB2139" s="13"/>
      <c r="AC2139" s="13"/>
      <c r="AD2139" s="13"/>
      <c r="AE2139" s="13"/>
      <c r="AF2139" s="13"/>
      <c r="AG2139" s="13"/>
    </row>
    <row r="2140" spans="1:33" s="14" customFormat="1" ht="15" customHeight="1">
      <c r="A2140" s="10">
        <v>43083</v>
      </c>
      <c r="B2140" s="3" t="s">
        <v>258</v>
      </c>
      <c r="C2140" s="15" t="s">
        <v>46</v>
      </c>
      <c r="D2140" s="15">
        <v>170</v>
      </c>
      <c r="E2140" s="11">
        <v>6000</v>
      </c>
      <c r="F2140" s="3" t="s">
        <v>8</v>
      </c>
      <c r="G2140" s="46">
        <v>5</v>
      </c>
      <c r="H2140" s="3">
        <v>4.2</v>
      </c>
      <c r="I2140" s="46">
        <v>0</v>
      </c>
      <c r="J2140" s="55">
        <v>0</v>
      </c>
      <c r="K2140" s="1">
        <f t="shared" ref="K2140" si="3060">(IF(F2140="SELL",G2140-H2140,IF(F2140="BUY",H2140-G2140)))*E2140</f>
        <v>-4799.9999999999991</v>
      </c>
      <c r="L2140" s="51">
        <v>0</v>
      </c>
      <c r="M2140" s="52">
        <v>0</v>
      </c>
      <c r="N2140" s="2">
        <f t="shared" si="3051"/>
        <v>-0.79999999999999982</v>
      </c>
      <c r="O2140" s="2">
        <f t="shared" si="2978"/>
        <v>-4799.9999999999991</v>
      </c>
      <c r="P2140" s="13"/>
      <c r="Q2140" s="13"/>
      <c r="R2140" s="13"/>
      <c r="S2140" s="13"/>
      <c r="T2140" s="13"/>
      <c r="U2140" s="13"/>
      <c r="V2140" s="13"/>
      <c r="W2140" s="13"/>
      <c r="X2140" s="13"/>
      <c r="Y2140" s="13"/>
      <c r="Z2140" s="13"/>
      <c r="AA2140" s="13"/>
      <c r="AB2140" s="13"/>
      <c r="AC2140" s="13"/>
      <c r="AD2140" s="13"/>
      <c r="AE2140" s="13"/>
      <c r="AF2140" s="13"/>
      <c r="AG2140" s="13"/>
    </row>
    <row r="2141" spans="1:33" s="14" customFormat="1" ht="15" customHeight="1">
      <c r="A2141" s="10">
        <v>43083</v>
      </c>
      <c r="B2141" s="3" t="s">
        <v>257</v>
      </c>
      <c r="C2141" s="15" t="s">
        <v>47</v>
      </c>
      <c r="D2141" s="15">
        <v>370</v>
      </c>
      <c r="E2141" s="11">
        <v>3084</v>
      </c>
      <c r="F2141" s="3" t="s">
        <v>8</v>
      </c>
      <c r="G2141" s="46">
        <v>7</v>
      </c>
      <c r="H2141" s="3">
        <v>7.5</v>
      </c>
      <c r="I2141" s="46">
        <v>8</v>
      </c>
      <c r="J2141" s="55">
        <v>0</v>
      </c>
      <c r="K2141" s="1">
        <f t="shared" ref="K2141" si="3061">(IF(F2141="SELL",G2141-H2141,IF(F2141="BUY",H2141-G2141)))*E2141</f>
        <v>1542</v>
      </c>
      <c r="L2141" s="51">
        <f t="shared" si="3059"/>
        <v>1542</v>
      </c>
      <c r="M2141" s="52">
        <v>0</v>
      </c>
      <c r="N2141" s="2">
        <f t="shared" si="3051"/>
        <v>1</v>
      </c>
      <c r="O2141" s="2">
        <f t="shared" si="2978"/>
        <v>3084</v>
      </c>
      <c r="P2141" s="13"/>
      <c r="Q2141" s="13"/>
      <c r="R2141" s="13"/>
      <c r="S2141" s="13"/>
      <c r="T2141" s="13"/>
      <c r="U2141" s="13"/>
      <c r="V2141" s="13"/>
      <c r="W2141" s="13"/>
      <c r="X2141" s="13"/>
      <c r="Y2141" s="13"/>
      <c r="Z2141" s="13"/>
      <c r="AA2141" s="13"/>
      <c r="AB2141" s="13"/>
      <c r="AC2141" s="13"/>
      <c r="AD2141" s="13"/>
      <c r="AE2141" s="13"/>
      <c r="AF2141" s="13"/>
      <c r="AG2141" s="13"/>
    </row>
    <row r="2142" spans="1:33" s="14" customFormat="1" ht="15" customHeight="1">
      <c r="A2142" s="10">
        <v>43083</v>
      </c>
      <c r="B2142" s="3" t="s">
        <v>157</v>
      </c>
      <c r="C2142" s="15" t="s">
        <v>46</v>
      </c>
      <c r="D2142" s="15">
        <v>800</v>
      </c>
      <c r="E2142" s="11">
        <v>1500</v>
      </c>
      <c r="F2142" s="3" t="s">
        <v>8</v>
      </c>
      <c r="G2142" s="46">
        <v>18</v>
      </c>
      <c r="H2142" s="3">
        <v>19.5</v>
      </c>
      <c r="I2142" s="46">
        <v>0</v>
      </c>
      <c r="J2142" s="55">
        <v>0</v>
      </c>
      <c r="K2142" s="1">
        <f t="shared" ref="K2142" si="3062">(IF(F2142="SELL",G2142-H2142,IF(F2142="BUY",H2142-G2142)))*E2142</f>
        <v>2250</v>
      </c>
      <c r="L2142" s="51">
        <v>0</v>
      </c>
      <c r="M2142" s="52">
        <v>0</v>
      </c>
      <c r="N2142" s="2">
        <f t="shared" si="3051"/>
        <v>1.5</v>
      </c>
      <c r="O2142" s="2">
        <f t="shared" si="2978"/>
        <v>2250</v>
      </c>
      <c r="P2142" s="13"/>
      <c r="Q2142" s="13"/>
      <c r="R2142" s="13"/>
      <c r="S2142" s="13"/>
      <c r="T2142" s="13"/>
      <c r="U2142" s="13"/>
      <c r="V2142" s="13"/>
      <c r="W2142" s="13"/>
      <c r="X2142" s="13"/>
      <c r="Y2142" s="13"/>
      <c r="Z2142" s="13"/>
      <c r="AA2142" s="13"/>
      <c r="AB2142" s="13"/>
      <c r="AC2142" s="13"/>
      <c r="AD2142" s="13"/>
      <c r="AE2142" s="13"/>
      <c r="AF2142" s="13"/>
      <c r="AG2142" s="13"/>
    </row>
    <row r="2143" spans="1:33" s="14" customFormat="1" ht="15" customHeight="1">
      <c r="A2143" s="10">
        <v>43082</v>
      </c>
      <c r="B2143" s="3" t="s">
        <v>256</v>
      </c>
      <c r="C2143" s="15" t="s">
        <v>46</v>
      </c>
      <c r="D2143" s="15">
        <v>290</v>
      </c>
      <c r="E2143" s="11">
        <v>4500</v>
      </c>
      <c r="F2143" s="3" t="s">
        <v>8</v>
      </c>
      <c r="G2143" s="46">
        <v>8.9</v>
      </c>
      <c r="H2143" s="3">
        <v>9.3000000000000007</v>
      </c>
      <c r="I2143" s="46">
        <v>10</v>
      </c>
      <c r="J2143" s="55">
        <v>0</v>
      </c>
      <c r="K2143" s="1">
        <f t="shared" ref="K2143" si="3063">(IF(F2143="SELL",G2143-H2143,IF(F2143="BUY",H2143-G2143)))*E2143</f>
        <v>1800.0000000000016</v>
      </c>
      <c r="L2143" s="51">
        <f t="shared" ref="L2143" si="3064">(IF(F2143="SELL",IF(I2143="",0,H2143-I2143),IF(F2143="BUY",IF(I2143="",0,I2143-H2143))))*E2143</f>
        <v>3149.9999999999968</v>
      </c>
      <c r="M2143" s="52">
        <v>0</v>
      </c>
      <c r="N2143" s="2">
        <f t="shared" si="3051"/>
        <v>1.0999999999999996</v>
      </c>
      <c r="O2143" s="2">
        <f t="shared" si="2978"/>
        <v>4949.9999999999982</v>
      </c>
      <c r="P2143" s="13"/>
      <c r="Q2143" s="13"/>
      <c r="R2143" s="13"/>
      <c r="S2143" s="13"/>
      <c r="T2143" s="13"/>
      <c r="U2143" s="13"/>
      <c r="V2143" s="13"/>
      <c r="W2143" s="13"/>
      <c r="X2143" s="13"/>
      <c r="Y2143" s="13"/>
      <c r="Z2143" s="13"/>
      <c r="AA2143" s="13"/>
      <c r="AB2143" s="13"/>
      <c r="AC2143" s="13"/>
      <c r="AD2143" s="13"/>
      <c r="AE2143" s="13"/>
      <c r="AF2143" s="13"/>
      <c r="AG2143" s="13"/>
    </row>
    <row r="2144" spans="1:33" s="14" customFormat="1" ht="15" customHeight="1">
      <c r="A2144" s="10">
        <v>43082</v>
      </c>
      <c r="B2144" s="3" t="s">
        <v>255</v>
      </c>
      <c r="C2144" s="15" t="s">
        <v>46</v>
      </c>
      <c r="D2144" s="15">
        <v>175</v>
      </c>
      <c r="E2144" s="11">
        <v>6000</v>
      </c>
      <c r="F2144" s="3" t="s">
        <v>8</v>
      </c>
      <c r="G2144" s="46">
        <v>5.8</v>
      </c>
      <c r="H2144" s="3">
        <v>6.1</v>
      </c>
      <c r="I2144" s="46">
        <v>6.5</v>
      </c>
      <c r="J2144" s="55">
        <v>7</v>
      </c>
      <c r="K2144" s="1">
        <f t="shared" ref="K2144" si="3065">(IF(F2144="SELL",G2144-H2144,IF(F2144="BUY",H2144-G2144)))*E2144</f>
        <v>1799.9999999999989</v>
      </c>
      <c r="L2144" s="51">
        <f t="shared" ref="L2144" si="3066">(IF(F2144="SELL",IF(I2144="",0,H2144-I2144),IF(F2144="BUY",IF(I2144="",0,I2144-H2144))))*E2144</f>
        <v>2400.0000000000023</v>
      </c>
      <c r="M2144" s="52">
        <f>(IF(F2144="SELL",IF(J2144="",0,I2144-J2144),IF(F2144="BUY",IF(J2144="",0,(J2144-I2144)))))*E2144</f>
        <v>3000</v>
      </c>
      <c r="N2144" s="2">
        <f t="shared" si="3051"/>
        <v>1.2000000000000002</v>
      </c>
      <c r="O2144" s="2">
        <f t="shared" ref="O2144:O2207" si="3067">N2144*E2144</f>
        <v>7200.0000000000009</v>
      </c>
      <c r="P2144" s="13"/>
      <c r="Q2144" s="13"/>
      <c r="R2144" s="13"/>
      <c r="S2144" s="13"/>
      <c r="T2144" s="13"/>
      <c r="U2144" s="13"/>
      <c r="V2144" s="13"/>
      <c r="W2144" s="13"/>
      <c r="X2144" s="13"/>
      <c r="Y2144" s="13"/>
      <c r="Z2144" s="13"/>
      <c r="AA2144" s="13"/>
      <c r="AB2144" s="13"/>
      <c r="AC2144" s="13"/>
      <c r="AD2144" s="13"/>
      <c r="AE2144" s="13"/>
      <c r="AF2144" s="13"/>
      <c r="AG2144" s="13"/>
    </row>
    <row r="2145" spans="1:33" s="14" customFormat="1" ht="15" customHeight="1">
      <c r="A2145" s="10">
        <v>43082</v>
      </c>
      <c r="B2145" s="3" t="s">
        <v>254</v>
      </c>
      <c r="C2145" s="15" t="s">
        <v>46</v>
      </c>
      <c r="D2145" s="15">
        <v>290</v>
      </c>
      <c r="E2145" s="11">
        <v>4500</v>
      </c>
      <c r="F2145" s="3" t="s">
        <v>8</v>
      </c>
      <c r="G2145" s="46">
        <v>8.6</v>
      </c>
      <c r="H2145" s="3">
        <v>9</v>
      </c>
      <c r="I2145" s="46">
        <v>0</v>
      </c>
      <c r="J2145" s="55">
        <v>0</v>
      </c>
      <c r="K2145" s="1">
        <f t="shared" ref="K2145" si="3068">(IF(F2145="SELL",G2145-H2145,IF(F2145="BUY",H2145-G2145)))*E2145</f>
        <v>1800.0000000000016</v>
      </c>
      <c r="L2145" s="51">
        <v>0</v>
      </c>
      <c r="M2145" s="52">
        <v>0</v>
      </c>
      <c r="N2145" s="2">
        <f t="shared" si="3051"/>
        <v>0.40000000000000036</v>
      </c>
      <c r="O2145" s="2">
        <f t="shared" si="3067"/>
        <v>1800.0000000000016</v>
      </c>
      <c r="P2145" s="13"/>
      <c r="Q2145" s="13"/>
      <c r="R2145" s="13"/>
      <c r="S2145" s="13"/>
      <c r="T2145" s="13"/>
      <c r="U2145" s="13"/>
      <c r="V2145" s="13"/>
      <c r="W2145" s="13"/>
      <c r="X2145" s="13"/>
      <c r="Y2145" s="13"/>
      <c r="Z2145" s="13"/>
      <c r="AA2145" s="13"/>
      <c r="AB2145" s="13"/>
      <c r="AC2145" s="13"/>
      <c r="AD2145" s="13"/>
      <c r="AE2145" s="13"/>
      <c r="AF2145" s="13"/>
      <c r="AG2145" s="13"/>
    </row>
    <row r="2146" spans="1:33" s="14" customFormat="1" ht="15" customHeight="1">
      <c r="A2146" s="10">
        <v>43081</v>
      </c>
      <c r="B2146" s="3" t="s">
        <v>253</v>
      </c>
      <c r="C2146" s="15" t="s">
        <v>47</v>
      </c>
      <c r="D2146" s="15">
        <v>570</v>
      </c>
      <c r="E2146" s="11">
        <v>1200</v>
      </c>
      <c r="F2146" s="3" t="s">
        <v>8</v>
      </c>
      <c r="G2146" s="46">
        <v>12.45</v>
      </c>
      <c r="H2146" s="3">
        <v>15</v>
      </c>
      <c r="I2146" s="46">
        <v>0</v>
      </c>
      <c r="J2146" s="55">
        <v>0</v>
      </c>
      <c r="K2146" s="1">
        <f t="shared" ref="K2146" si="3069">(IF(F2146="SELL",G2146-H2146,IF(F2146="BUY",H2146-G2146)))*E2146</f>
        <v>3060.0000000000009</v>
      </c>
      <c r="L2146" s="51">
        <v>0</v>
      </c>
      <c r="M2146" s="52">
        <v>0</v>
      </c>
      <c r="N2146" s="2">
        <f t="shared" si="3051"/>
        <v>2.5500000000000007</v>
      </c>
      <c r="O2146" s="2">
        <f t="shared" si="3067"/>
        <v>3060.0000000000009</v>
      </c>
      <c r="P2146" s="13"/>
      <c r="Q2146" s="13"/>
      <c r="R2146" s="13"/>
      <c r="S2146" s="13"/>
      <c r="T2146" s="13"/>
      <c r="U2146" s="13"/>
      <c r="V2146" s="13"/>
      <c r="W2146" s="13"/>
      <c r="X2146" s="13"/>
      <c r="Y2146" s="13"/>
      <c r="Z2146" s="13"/>
      <c r="AA2146" s="13"/>
      <c r="AB2146" s="13"/>
      <c r="AC2146" s="13"/>
      <c r="AD2146" s="13"/>
      <c r="AE2146" s="13"/>
      <c r="AF2146" s="13"/>
      <c r="AG2146" s="13"/>
    </row>
    <row r="2147" spans="1:33" s="14" customFormat="1" ht="15" customHeight="1">
      <c r="A2147" s="10">
        <v>43081</v>
      </c>
      <c r="B2147" s="3" t="s">
        <v>252</v>
      </c>
      <c r="C2147" s="15" t="s">
        <v>47</v>
      </c>
      <c r="D2147" s="15">
        <v>155</v>
      </c>
      <c r="E2147" s="11">
        <v>4000</v>
      </c>
      <c r="F2147" s="3" t="s">
        <v>8</v>
      </c>
      <c r="G2147" s="46">
        <v>7.3</v>
      </c>
      <c r="H2147" s="3">
        <v>7.7</v>
      </c>
      <c r="I2147" s="46">
        <v>0</v>
      </c>
      <c r="J2147" s="55">
        <v>0</v>
      </c>
      <c r="K2147" s="1">
        <f t="shared" ref="K2147" si="3070">(IF(F2147="SELL",G2147-H2147,IF(F2147="BUY",H2147-G2147)))*E2147</f>
        <v>1600.0000000000014</v>
      </c>
      <c r="L2147" s="51">
        <v>0</v>
      </c>
      <c r="M2147" s="52">
        <v>0</v>
      </c>
      <c r="N2147" s="2">
        <f t="shared" si="3051"/>
        <v>0.40000000000000036</v>
      </c>
      <c r="O2147" s="2">
        <f t="shared" si="3067"/>
        <v>1600.0000000000014</v>
      </c>
      <c r="P2147" s="13"/>
      <c r="Q2147" s="13"/>
      <c r="R2147" s="13"/>
      <c r="S2147" s="13"/>
      <c r="T2147" s="13"/>
      <c r="U2147" s="13"/>
      <c r="V2147" s="13"/>
      <c r="W2147" s="13"/>
      <c r="X2147" s="13"/>
      <c r="Y2147" s="13"/>
      <c r="Z2147" s="13"/>
      <c r="AA2147" s="13"/>
      <c r="AB2147" s="13"/>
      <c r="AC2147" s="13"/>
      <c r="AD2147" s="13"/>
      <c r="AE2147" s="13"/>
      <c r="AF2147" s="13"/>
      <c r="AG2147" s="13"/>
    </row>
    <row r="2148" spans="1:33" s="14" customFormat="1" ht="15" customHeight="1">
      <c r="A2148" s="10">
        <v>43080</v>
      </c>
      <c r="B2148" s="3" t="s">
        <v>251</v>
      </c>
      <c r="C2148" s="15" t="s">
        <v>47</v>
      </c>
      <c r="D2148" s="15">
        <v>1040</v>
      </c>
      <c r="E2148" s="11">
        <v>800</v>
      </c>
      <c r="F2148" s="3" t="s">
        <v>8</v>
      </c>
      <c r="G2148" s="46">
        <v>24</v>
      </c>
      <c r="H2148" s="3">
        <v>26.5</v>
      </c>
      <c r="I2148" s="46">
        <v>0</v>
      </c>
      <c r="J2148" s="55">
        <v>0</v>
      </c>
      <c r="K2148" s="1">
        <f t="shared" ref="K2148" si="3071">(IF(F2148="SELL",G2148-H2148,IF(F2148="BUY",H2148-G2148)))*E2148</f>
        <v>2000</v>
      </c>
      <c r="L2148" s="51">
        <v>0</v>
      </c>
      <c r="M2148" s="52">
        <v>0</v>
      </c>
      <c r="N2148" s="2">
        <f t="shared" si="3051"/>
        <v>2.5</v>
      </c>
      <c r="O2148" s="2">
        <f t="shared" si="3067"/>
        <v>2000</v>
      </c>
      <c r="P2148" s="13"/>
      <c r="Q2148" s="13"/>
      <c r="R2148" s="13"/>
      <c r="S2148" s="13"/>
      <c r="T2148" s="13"/>
      <c r="U2148" s="13"/>
      <c r="V2148" s="13"/>
      <c r="W2148" s="13"/>
      <c r="X2148" s="13"/>
      <c r="Y2148" s="13"/>
      <c r="Z2148" s="13"/>
      <c r="AA2148" s="13"/>
      <c r="AB2148" s="13"/>
      <c r="AC2148" s="13"/>
      <c r="AD2148" s="13"/>
      <c r="AE2148" s="13"/>
      <c r="AF2148" s="13"/>
      <c r="AG2148" s="13"/>
    </row>
    <row r="2149" spans="1:33" s="14" customFormat="1" ht="15" customHeight="1">
      <c r="A2149" s="10">
        <v>43080</v>
      </c>
      <c r="B2149" s="3" t="s">
        <v>250</v>
      </c>
      <c r="C2149" s="15" t="s">
        <v>47</v>
      </c>
      <c r="D2149" s="15">
        <v>1420</v>
      </c>
      <c r="E2149" s="11">
        <v>600</v>
      </c>
      <c r="F2149" s="3" t="s">
        <v>8</v>
      </c>
      <c r="G2149" s="46">
        <v>36</v>
      </c>
      <c r="H2149" s="3">
        <v>39</v>
      </c>
      <c r="I2149" s="46">
        <v>0</v>
      </c>
      <c r="J2149" s="55">
        <v>0</v>
      </c>
      <c r="K2149" s="1">
        <f t="shared" ref="K2149" si="3072">(IF(F2149="SELL",G2149-H2149,IF(F2149="BUY",H2149-G2149)))*E2149</f>
        <v>1800</v>
      </c>
      <c r="L2149" s="51">
        <v>0</v>
      </c>
      <c r="M2149" s="52">
        <v>0</v>
      </c>
      <c r="N2149" s="2">
        <f t="shared" si="3051"/>
        <v>3</v>
      </c>
      <c r="O2149" s="2">
        <f t="shared" si="3067"/>
        <v>1800</v>
      </c>
      <c r="P2149" s="13"/>
      <c r="Q2149" s="13"/>
      <c r="R2149" s="13"/>
      <c r="S2149" s="13"/>
      <c r="T2149" s="13"/>
      <c r="U2149" s="13"/>
      <c r="V2149" s="13"/>
      <c r="W2149" s="13"/>
      <c r="X2149" s="13"/>
      <c r="Y2149" s="13"/>
      <c r="Z2149" s="13"/>
      <c r="AA2149" s="13"/>
      <c r="AB2149" s="13"/>
      <c r="AC2149" s="13"/>
      <c r="AD2149" s="13"/>
      <c r="AE2149" s="13"/>
      <c r="AF2149" s="13"/>
      <c r="AG2149" s="13"/>
    </row>
    <row r="2150" spans="1:33" s="14" customFormat="1" ht="15" customHeight="1">
      <c r="A2150" s="10">
        <v>43077</v>
      </c>
      <c r="B2150" s="3" t="s">
        <v>250</v>
      </c>
      <c r="C2150" s="15" t="s">
        <v>47</v>
      </c>
      <c r="D2150" s="15">
        <v>1400</v>
      </c>
      <c r="E2150" s="11">
        <v>600</v>
      </c>
      <c r="F2150" s="3" t="s">
        <v>8</v>
      </c>
      <c r="G2150" s="46">
        <v>37.5</v>
      </c>
      <c r="H2150" s="3">
        <v>42</v>
      </c>
      <c r="I2150" s="46">
        <v>0</v>
      </c>
      <c r="J2150" s="55">
        <v>0</v>
      </c>
      <c r="K2150" s="1">
        <f t="shared" ref="K2150" si="3073">(IF(F2150="SELL",G2150-H2150,IF(F2150="BUY",H2150-G2150)))*E2150</f>
        <v>2700</v>
      </c>
      <c r="L2150" s="51">
        <v>0</v>
      </c>
      <c r="M2150" s="52">
        <v>0</v>
      </c>
      <c r="N2150" s="2">
        <f t="shared" si="3051"/>
        <v>4.5</v>
      </c>
      <c r="O2150" s="2">
        <f t="shared" si="3067"/>
        <v>2700</v>
      </c>
      <c r="P2150" s="13"/>
      <c r="Q2150" s="13"/>
      <c r="R2150" s="13"/>
      <c r="S2150" s="13"/>
      <c r="T2150" s="13"/>
      <c r="U2150" s="13"/>
      <c r="V2150" s="13"/>
      <c r="W2150" s="13"/>
      <c r="X2150" s="13"/>
      <c r="Y2150" s="13"/>
      <c r="Z2150" s="13"/>
      <c r="AA2150" s="13"/>
      <c r="AB2150" s="13"/>
      <c r="AC2150" s="13"/>
      <c r="AD2150" s="13"/>
      <c r="AE2150" s="13"/>
      <c r="AF2150" s="13"/>
      <c r="AG2150" s="13"/>
    </row>
    <row r="2151" spans="1:33" s="14" customFormat="1" ht="15" customHeight="1">
      <c r="A2151" s="10">
        <v>43077</v>
      </c>
      <c r="B2151" s="3" t="s">
        <v>166</v>
      </c>
      <c r="C2151" s="15" t="s">
        <v>47</v>
      </c>
      <c r="D2151" s="15">
        <v>245</v>
      </c>
      <c r="E2151" s="11">
        <v>3500</v>
      </c>
      <c r="F2151" s="3" t="s">
        <v>8</v>
      </c>
      <c r="G2151" s="46">
        <v>5.8</v>
      </c>
      <c r="H2151" s="3">
        <v>6.3</v>
      </c>
      <c r="I2151" s="46">
        <v>7</v>
      </c>
      <c r="J2151" s="55">
        <v>0</v>
      </c>
      <c r="K2151" s="1">
        <f t="shared" ref="K2151" si="3074">(IF(F2151="SELL",G2151-H2151,IF(F2151="BUY",H2151-G2151)))*E2151</f>
        <v>1750</v>
      </c>
      <c r="L2151" s="51">
        <f t="shared" ref="L2151" si="3075">(IF(F2151="SELL",IF(I2151="",0,H2151-I2151),IF(F2151="BUY",IF(I2151="",0,I2151-H2151))))*E2151</f>
        <v>2450.0000000000005</v>
      </c>
      <c r="M2151" s="52">
        <v>0</v>
      </c>
      <c r="N2151" s="2">
        <f t="shared" si="3051"/>
        <v>1.2</v>
      </c>
      <c r="O2151" s="2">
        <f t="shared" si="3067"/>
        <v>4200</v>
      </c>
      <c r="P2151" s="13"/>
      <c r="Q2151" s="13"/>
      <c r="R2151" s="13"/>
      <c r="S2151" s="13"/>
      <c r="T2151" s="13"/>
      <c r="U2151" s="13"/>
      <c r="V2151" s="13"/>
      <c r="W2151" s="13"/>
      <c r="X2151" s="13"/>
      <c r="Y2151" s="13"/>
      <c r="Z2151" s="13"/>
      <c r="AA2151" s="13"/>
      <c r="AB2151" s="13"/>
      <c r="AC2151" s="13"/>
      <c r="AD2151" s="13"/>
      <c r="AE2151" s="13"/>
      <c r="AF2151" s="13"/>
      <c r="AG2151" s="13"/>
    </row>
    <row r="2152" spans="1:33" s="14" customFormat="1" ht="15" customHeight="1">
      <c r="A2152" s="10">
        <v>43077</v>
      </c>
      <c r="B2152" s="3" t="s">
        <v>161</v>
      </c>
      <c r="C2152" s="15" t="s">
        <v>47</v>
      </c>
      <c r="D2152" s="15">
        <v>420</v>
      </c>
      <c r="E2152" s="11">
        <v>1500</v>
      </c>
      <c r="F2152" s="3" t="s">
        <v>8</v>
      </c>
      <c r="G2152" s="46">
        <v>9.1999999999999993</v>
      </c>
      <c r="H2152" s="3">
        <v>10.199999999999999</v>
      </c>
      <c r="I2152" s="46">
        <v>0</v>
      </c>
      <c r="J2152" s="55">
        <v>0</v>
      </c>
      <c r="K2152" s="1">
        <f t="shared" ref="K2152" si="3076">(IF(F2152="SELL",G2152-H2152,IF(F2152="BUY",H2152-G2152)))*E2152</f>
        <v>1500</v>
      </c>
      <c r="L2152" s="51">
        <v>0</v>
      </c>
      <c r="M2152" s="52">
        <v>0</v>
      </c>
      <c r="N2152" s="2">
        <f t="shared" si="3051"/>
        <v>1</v>
      </c>
      <c r="O2152" s="2">
        <f t="shared" si="3067"/>
        <v>1500</v>
      </c>
      <c r="P2152" s="13"/>
      <c r="Q2152" s="13"/>
      <c r="R2152" s="13"/>
      <c r="S2152" s="13"/>
      <c r="T2152" s="13"/>
      <c r="U2152" s="13"/>
      <c r="V2152" s="13"/>
      <c r="W2152" s="13"/>
      <c r="X2152" s="13"/>
      <c r="Y2152" s="13"/>
      <c r="Z2152" s="13"/>
      <c r="AA2152" s="13"/>
      <c r="AB2152" s="13"/>
      <c r="AC2152" s="13"/>
      <c r="AD2152" s="13"/>
      <c r="AE2152" s="13"/>
      <c r="AF2152" s="13"/>
      <c r="AG2152" s="13"/>
    </row>
    <row r="2153" spans="1:33" s="14" customFormat="1" ht="15" customHeight="1">
      <c r="A2153" s="10">
        <v>43076</v>
      </c>
      <c r="B2153" s="3" t="s">
        <v>239</v>
      </c>
      <c r="C2153" s="15" t="s">
        <v>47</v>
      </c>
      <c r="D2153" s="15">
        <v>240</v>
      </c>
      <c r="E2153" s="11">
        <v>5000</v>
      </c>
      <c r="F2153" s="3" t="s">
        <v>8</v>
      </c>
      <c r="G2153" s="46">
        <v>8.75</v>
      </c>
      <c r="H2153" s="3">
        <v>9.1999999999999993</v>
      </c>
      <c r="I2153" s="46">
        <v>10</v>
      </c>
      <c r="J2153" s="55">
        <v>0</v>
      </c>
      <c r="K2153" s="1">
        <f t="shared" ref="K2153" si="3077">(IF(F2153="SELL",G2153-H2153,IF(F2153="BUY",H2153-G2153)))*E2153</f>
        <v>2249.9999999999964</v>
      </c>
      <c r="L2153" s="51">
        <f t="shared" ref="L2153" si="3078">(IF(F2153="SELL",IF(I2153="",0,H2153-I2153),IF(F2153="BUY",IF(I2153="",0,I2153-H2153))))*E2153</f>
        <v>4000.0000000000036</v>
      </c>
      <c r="M2153" s="52">
        <v>0</v>
      </c>
      <c r="N2153" s="2">
        <f t="shared" si="3051"/>
        <v>1.25</v>
      </c>
      <c r="O2153" s="2">
        <f t="shared" si="3067"/>
        <v>6250</v>
      </c>
      <c r="P2153" s="13"/>
      <c r="Q2153" s="13"/>
      <c r="R2153" s="13"/>
      <c r="S2153" s="13"/>
      <c r="T2153" s="13"/>
      <c r="U2153" s="13"/>
      <c r="V2153" s="13"/>
      <c r="W2153" s="13"/>
      <c r="X2153" s="13"/>
      <c r="Y2153" s="13"/>
      <c r="Z2153" s="13"/>
      <c r="AA2153" s="13"/>
      <c r="AB2153" s="13"/>
      <c r="AC2153" s="13"/>
      <c r="AD2153" s="13"/>
      <c r="AE2153" s="13"/>
      <c r="AF2153" s="13"/>
      <c r="AG2153" s="13"/>
    </row>
    <row r="2154" spans="1:33" s="14" customFormat="1" ht="15" customHeight="1">
      <c r="A2154" s="10">
        <v>43076</v>
      </c>
      <c r="B2154" s="3" t="s">
        <v>153</v>
      </c>
      <c r="C2154" s="15" t="s">
        <v>47</v>
      </c>
      <c r="D2154" s="15">
        <v>700</v>
      </c>
      <c r="E2154" s="11">
        <v>1200</v>
      </c>
      <c r="F2154" s="3" t="s">
        <v>8</v>
      </c>
      <c r="G2154" s="46">
        <v>32</v>
      </c>
      <c r="H2154" s="3">
        <v>33.5</v>
      </c>
      <c r="I2154" s="46">
        <v>0</v>
      </c>
      <c r="J2154" s="55">
        <v>0</v>
      </c>
      <c r="K2154" s="1">
        <f t="shared" ref="K2154" si="3079">(IF(F2154="SELL",G2154-H2154,IF(F2154="BUY",H2154-G2154)))*E2154</f>
        <v>1800</v>
      </c>
      <c r="L2154" s="51">
        <v>0</v>
      </c>
      <c r="M2154" s="52">
        <f t="shared" ref="M2154:M2159" si="3080">(IF(F2154="SELL",IF(J2154="",0,I2154-J2154),IF(F2154="BUY",IF(J2154="",0,(J2154-I2154)))))*E2154</f>
        <v>0</v>
      </c>
      <c r="N2154" s="2">
        <f t="shared" si="3051"/>
        <v>1.5</v>
      </c>
      <c r="O2154" s="2">
        <f t="shared" si="3067"/>
        <v>1800</v>
      </c>
      <c r="P2154" s="13"/>
      <c r="Q2154" s="13"/>
      <c r="R2154" s="13"/>
      <c r="S2154" s="13"/>
      <c r="T2154" s="13"/>
      <c r="U2154" s="13"/>
      <c r="V2154" s="13"/>
      <c r="W2154" s="13"/>
      <c r="X2154" s="13"/>
      <c r="Y2154" s="13"/>
      <c r="Z2154" s="13"/>
      <c r="AA2154" s="13"/>
      <c r="AB2154" s="13"/>
      <c r="AC2154" s="13"/>
      <c r="AD2154" s="13"/>
      <c r="AE2154" s="13"/>
      <c r="AF2154" s="13"/>
      <c r="AG2154" s="13"/>
    </row>
    <row r="2155" spans="1:33" s="14" customFormat="1" ht="15" customHeight="1">
      <c r="A2155" s="10">
        <v>43075</v>
      </c>
      <c r="B2155" s="3" t="s">
        <v>239</v>
      </c>
      <c r="C2155" s="15" t="s">
        <v>47</v>
      </c>
      <c r="D2155" s="15">
        <v>240</v>
      </c>
      <c r="E2155" s="11">
        <v>5000</v>
      </c>
      <c r="F2155" s="3" t="s">
        <v>8</v>
      </c>
      <c r="G2155" s="46">
        <v>8</v>
      </c>
      <c r="H2155" s="3">
        <v>7</v>
      </c>
      <c r="I2155" s="46">
        <v>0</v>
      </c>
      <c r="J2155" s="55">
        <v>0</v>
      </c>
      <c r="K2155" s="1">
        <f t="shared" ref="K2155" si="3081">(IF(F2155="SELL",G2155-H2155,IF(F2155="BUY",H2155-G2155)))*E2155</f>
        <v>-5000</v>
      </c>
      <c r="L2155" s="51">
        <v>0</v>
      </c>
      <c r="M2155" s="52">
        <f t="shared" si="3080"/>
        <v>0</v>
      </c>
      <c r="N2155" s="2">
        <f t="shared" si="3051"/>
        <v>-1</v>
      </c>
      <c r="O2155" s="2">
        <f t="shared" si="3067"/>
        <v>-5000</v>
      </c>
      <c r="P2155" s="13"/>
      <c r="Q2155" s="13"/>
      <c r="R2155" s="13"/>
      <c r="S2155" s="13"/>
      <c r="T2155" s="13"/>
      <c r="U2155" s="13"/>
      <c r="V2155" s="13"/>
      <c r="W2155" s="13"/>
      <c r="X2155" s="13"/>
      <c r="Y2155" s="13"/>
      <c r="Z2155" s="13"/>
      <c r="AA2155" s="13"/>
      <c r="AB2155" s="13"/>
      <c r="AC2155" s="13"/>
      <c r="AD2155" s="13"/>
      <c r="AE2155" s="13"/>
      <c r="AF2155" s="13"/>
      <c r="AG2155" s="13"/>
    </row>
    <row r="2156" spans="1:33" s="14" customFormat="1" ht="15" customHeight="1">
      <c r="A2156" s="10">
        <v>43075</v>
      </c>
      <c r="B2156" s="3" t="s">
        <v>153</v>
      </c>
      <c r="C2156" s="15" t="s">
        <v>47</v>
      </c>
      <c r="D2156" s="15">
        <v>700</v>
      </c>
      <c r="E2156" s="11">
        <v>1200</v>
      </c>
      <c r="F2156" s="3" t="s">
        <v>8</v>
      </c>
      <c r="G2156" s="46">
        <v>29</v>
      </c>
      <c r="H2156" s="3">
        <v>30.5</v>
      </c>
      <c r="I2156" s="46">
        <v>0</v>
      </c>
      <c r="J2156" s="55">
        <v>0</v>
      </c>
      <c r="K2156" s="1">
        <f t="shared" ref="K2156" si="3082">(IF(F2156="SELL",G2156-H2156,IF(F2156="BUY",H2156-G2156)))*E2156</f>
        <v>1800</v>
      </c>
      <c r="L2156" s="51">
        <v>0</v>
      </c>
      <c r="M2156" s="52">
        <f t="shared" si="3080"/>
        <v>0</v>
      </c>
      <c r="N2156" s="2">
        <f t="shared" si="3051"/>
        <v>1.5</v>
      </c>
      <c r="O2156" s="2">
        <f t="shared" si="3067"/>
        <v>1800</v>
      </c>
      <c r="P2156" s="13"/>
      <c r="Q2156" s="13"/>
      <c r="R2156" s="13"/>
      <c r="S2156" s="13"/>
      <c r="T2156" s="13"/>
      <c r="U2156" s="13"/>
      <c r="V2156" s="13"/>
      <c r="W2156" s="13"/>
      <c r="X2156" s="13"/>
      <c r="Y2156" s="13"/>
      <c r="Z2156" s="13"/>
      <c r="AA2156" s="13"/>
      <c r="AB2156" s="13"/>
      <c r="AC2156" s="13"/>
      <c r="AD2156" s="13"/>
      <c r="AE2156" s="13"/>
      <c r="AF2156" s="13"/>
      <c r="AG2156" s="13"/>
    </row>
    <row r="2157" spans="1:33" s="14" customFormat="1" ht="15" customHeight="1">
      <c r="A2157" s="10">
        <v>43075</v>
      </c>
      <c r="B2157" s="3" t="s">
        <v>249</v>
      </c>
      <c r="C2157" s="15" t="s">
        <v>47</v>
      </c>
      <c r="D2157" s="15">
        <v>330</v>
      </c>
      <c r="E2157" s="11">
        <v>2750</v>
      </c>
      <c r="F2157" s="3" t="s">
        <v>8</v>
      </c>
      <c r="G2157" s="46">
        <v>11.5</v>
      </c>
      <c r="H2157" s="3">
        <v>12.5</v>
      </c>
      <c r="I2157" s="46">
        <v>0</v>
      </c>
      <c r="J2157" s="55">
        <v>0</v>
      </c>
      <c r="K2157" s="1">
        <f t="shared" ref="K2157" si="3083">(IF(F2157="SELL",G2157-H2157,IF(F2157="BUY",H2157-G2157)))*E2157</f>
        <v>2750</v>
      </c>
      <c r="L2157" s="51">
        <v>0</v>
      </c>
      <c r="M2157" s="52">
        <f t="shared" si="3080"/>
        <v>0</v>
      </c>
      <c r="N2157" s="2">
        <f t="shared" si="3051"/>
        <v>1</v>
      </c>
      <c r="O2157" s="2">
        <f t="shared" si="3067"/>
        <v>2750</v>
      </c>
      <c r="P2157" s="13"/>
      <c r="Q2157" s="13"/>
      <c r="R2157" s="13"/>
      <c r="S2157" s="13"/>
      <c r="T2157" s="13"/>
      <c r="U2157" s="13"/>
      <c r="V2157" s="13"/>
      <c r="W2157" s="13"/>
      <c r="X2157" s="13"/>
      <c r="Y2157" s="13"/>
      <c r="Z2157" s="13"/>
      <c r="AA2157" s="13"/>
      <c r="AB2157" s="13"/>
      <c r="AC2157" s="13"/>
      <c r="AD2157" s="13"/>
      <c r="AE2157" s="13"/>
      <c r="AF2157" s="13"/>
      <c r="AG2157" s="13"/>
    </row>
    <row r="2158" spans="1:33" s="14" customFormat="1" ht="15" customHeight="1">
      <c r="A2158" s="10">
        <v>43074</v>
      </c>
      <c r="B2158" s="3" t="s">
        <v>248</v>
      </c>
      <c r="C2158" s="15" t="s">
        <v>47</v>
      </c>
      <c r="D2158" s="15">
        <v>380</v>
      </c>
      <c r="E2158" s="11">
        <v>1300</v>
      </c>
      <c r="F2158" s="3" t="s">
        <v>8</v>
      </c>
      <c r="G2158" s="46">
        <v>6.25</v>
      </c>
      <c r="H2158" s="3">
        <v>8.4499999999999993</v>
      </c>
      <c r="I2158" s="46">
        <v>0</v>
      </c>
      <c r="J2158" s="55">
        <v>0</v>
      </c>
      <c r="K2158" s="1">
        <f t="shared" ref="K2158" si="3084">(IF(F2158="SELL",G2158-H2158,IF(F2158="BUY",H2158-G2158)))*E2158</f>
        <v>2859.9999999999991</v>
      </c>
      <c r="L2158" s="51">
        <v>0</v>
      </c>
      <c r="M2158" s="52">
        <f t="shared" si="3080"/>
        <v>0</v>
      </c>
      <c r="N2158" s="2">
        <f t="shared" si="3051"/>
        <v>2.1999999999999993</v>
      </c>
      <c r="O2158" s="2">
        <f t="shared" si="3067"/>
        <v>2859.9999999999991</v>
      </c>
      <c r="P2158" s="13"/>
      <c r="Q2158" s="13"/>
      <c r="R2158" s="13"/>
      <c r="S2158" s="13"/>
      <c r="T2158" s="13"/>
      <c r="U2158" s="13"/>
      <c r="V2158" s="13"/>
      <c r="W2158" s="13"/>
      <c r="X2158" s="13"/>
      <c r="Y2158" s="13"/>
      <c r="Z2158" s="13"/>
      <c r="AA2158" s="13"/>
      <c r="AB2158" s="13"/>
      <c r="AC2158" s="13"/>
      <c r="AD2158" s="13"/>
      <c r="AE2158" s="13"/>
      <c r="AF2158" s="13"/>
      <c r="AG2158" s="13"/>
    </row>
    <row r="2159" spans="1:33" s="14" customFormat="1" ht="15" customHeight="1">
      <c r="A2159" s="10">
        <v>43073</v>
      </c>
      <c r="B2159" s="3" t="s">
        <v>193</v>
      </c>
      <c r="C2159" s="15" t="s">
        <v>47</v>
      </c>
      <c r="D2159" s="15">
        <v>330</v>
      </c>
      <c r="E2159" s="11">
        <v>2750</v>
      </c>
      <c r="F2159" s="3" t="s">
        <v>8</v>
      </c>
      <c r="G2159" s="46">
        <v>8</v>
      </c>
      <c r="H2159" s="3">
        <v>9</v>
      </c>
      <c r="I2159" s="46">
        <v>10</v>
      </c>
      <c r="J2159" s="55">
        <v>12</v>
      </c>
      <c r="K2159" s="1">
        <f t="shared" ref="K2159" si="3085">(IF(F2159="SELL",G2159-H2159,IF(F2159="BUY",H2159-G2159)))*E2159</f>
        <v>2750</v>
      </c>
      <c r="L2159" s="51">
        <f t="shared" ref="L2159:L2165" si="3086">(IF(F2159="SELL",IF(I2159="",0,H2159-I2159),IF(F2159="BUY",IF(I2159="",0,I2159-H2159))))*E2159</f>
        <v>2750</v>
      </c>
      <c r="M2159" s="52">
        <f t="shared" si="3080"/>
        <v>5500</v>
      </c>
      <c r="N2159" s="2">
        <f t="shared" si="3051"/>
        <v>4</v>
      </c>
      <c r="O2159" s="2">
        <f t="shared" si="3067"/>
        <v>11000</v>
      </c>
      <c r="P2159" s="13"/>
      <c r="Q2159" s="13"/>
      <c r="R2159" s="13"/>
      <c r="S2159" s="13"/>
      <c r="T2159" s="13"/>
      <c r="U2159" s="13"/>
      <c r="V2159" s="13"/>
      <c r="W2159" s="13"/>
      <c r="X2159" s="13"/>
      <c r="Y2159" s="13"/>
      <c r="Z2159" s="13"/>
      <c r="AA2159" s="13"/>
      <c r="AB2159" s="13"/>
      <c r="AC2159" s="13"/>
      <c r="AD2159" s="13"/>
      <c r="AE2159" s="13"/>
      <c r="AF2159" s="13"/>
      <c r="AG2159" s="13"/>
    </row>
    <row r="2160" spans="1:33" s="14" customFormat="1" ht="15" customHeight="1">
      <c r="A2160" s="10">
        <v>43073</v>
      </c>
      <c r="B2160" s="3" t="s">
        <v>247</v>
      </c>
      <c r="C2160" s="15" t="s">
        <v>47</v>
      </c>
      <c r="D2160" s="15">
        <v>370</v>
      </c>
      <c r="E2160" s="11">
        <v>3750</v>
      </c>
      <c r="F2160" s="3" t="s">
        <v>8</v>
      </c>
      <c r="G2160" s="46">
        <v>7.5</v>
      </c>
      <c r="H2160" s="3">
        <v>8</v>
      </c>
      <c r="I2160" s="46">
        <v>0</v>
      </c>
      <c r="J2160" s="55">
        <v>0</v>
      </c>
      <c r="K2160" s="1">
        <f t="shared" ref="K2160" si="3087">(IF(F2160="SELL",G2160-H2160,IF(F2160="BUY",H2160-G2160)))*E2160</f>
        <v>1875</v>
      </c>
      <c r="L2160" s="51">
        <v>0</v>
      </c>
      <c r="M2160" s="52">
        <v>0</v>
      </c>
      <c r="N2160" s="2">
        <f t="shared" si="3051"/>
        <v>0.5</v>
      </c>
      <c r="O2160" s="2">
        <f t="shared" si="3067"/>
        <v>1875</v>
      </c>
      <c r="P2160" s="13"/>
      <c r="Q2160" s="13"/>
      <c r="R2160" s="13"/>
      <c r="S2160" s="13"/>
      <c r="T2160" s="13"/>
      <c r="U2160" s="13"/>
      <c r="V2160" s="13"/>
      <c r="W2160" s="13"/>
      <c r="X2160" s="13"/>
      <c r="Y2160" s="13"/>
      <c r="Z2160" s="13"/>
      <c r="AA2160" s="13"/>
      <c r="AB2160" s="13"/>
      <c r="AC2160" s="13"/>
      <c r="AD2160" s="13"/>
      <c r="AE2160" s="13"/>
      <c r="AF2160" s="13"/>
      <c r="AG2160" s="13"/>
    </row>
    <row r="2161" spans="1:33" s="14" customFormat="1" ht="15" customHeight="1">
      <c r="A2161" s="10">
        <v>43073</v>
      </c>
      <c r="B2161" s="3" t="s">
        <v>193</v>
      </c>
      <c r="C2161" s="15" t="s">
        <v>47</v>
      </c>
      <c r="D2161" s="15">
        <v>330</v>
      </c>
      <c r="E2161" s="11">
        <v>2750</v>
      </c>
      <c r="F2161" s="3" t="s">
        <v>8</v>
      </c>
      <c r="G2161" s="46">
        <v>12.2</v>
      </c>
      <c r="H2161" s="3">
        <v>13.2</v>
      </c>
      <c r="I2161" s="46">
        <v>0</v>
      </c>
      <c r="J2161" s="55">
        <v>0</v>
      </c>
      <c r="K2161" s="1">
        <f t="shared" ref="K2161" si="3088">(IF(F2161="SELL",G2161-H2161,IF(F2161="BUY",H2161-G2161)))*E2161</f>
        <v>2750</v>
      </c>
      <c r="L2161" s="51">
        <v>0</v>
      </c>
      <c r="M2161" s="52">
        <v>0</v>
      </c>
      <c r="N2161" s="2">
        <f t="shared" si="3051"/>
        <v>1</v>
      </c>
      <c r="O2161" s="2">
        <f t="shared" si="3067"/>
        <v>2750</v>
      </c>
      <c r="P2161" s="13"/>
      <c r="Q2161" s="13"/>
      <c r="R2161" s="13"/>
      <c r="S2161" s="13"/>
      <c r="T2161" s="13"/>
      <c r="U2161" s="13"/>
      <c r="V2161" s="13"/>
      <c r="W2161" s="13"/>
      <c r="X2161" s="13"/>
      <c r="Y2161" s="13"/>
      <c r="Z2161" s="13"/>
      <c r="AA2161" s="13"/>
      <c r="AB2161" s="13"/>
      <c r="AC2161" s="13"/>
      <c r="AD2161" s="13"/>
      <c r="AE2161" s="13"/>
      <c r="AF2161" s="13"/>
      <c r="AG2161" s="13"/>
    </row>
    <row r="2162" spans="1:33" s="14" customFormat="1" ht="15" customHeight="1">
      <c r="A2162" s="10">
        <v>43070</v>
      </c>
      <c r="B2162" s="3" t="s">
        <v>224</v>
      </c>
      <c r="C2162" s="15" t="s">
        <v>47</v>
      </c>
      <c r="D2162" s="15">
        <v>360</v>
      </c>
      <c r="E2162" s="11">
        <v>3000</v>
      </c>
      <c r="F2162" s="3" t="s">
        <v>8</v>
      </c>
      <c r="G2162" s="46">
        <v>7.8</v>
      </c>
      <c r="H2162" s="3">
        <v>8.5</v>
      </c>
      <c r="I2162" s="46">
        <v>0</v>
      </c>
      <c r="J2162" s="55">
        <v>4</v>
      </c>
      <c r="K2162" s="1">
        <f t="shared" ref="K2162" si="3089">(IF(F2162="SELL",G2162-H2162,IF(F2162="BUY",H2162-G2162)))*E2162</f>
        <v>2100.0000000000005</v>
      </c>
      <c r="L2162" s="51">
        <v>0</v>
      </c>
      <c r="M2162" s="52">
        <v>0</v>
      </c>
      <c r="N2162" s="2">
        <f t="shared" si="3051"/>
        <v>0.70000000000000018</v>
      </c>
      <c r="O2162" s="2">
        <f t="shared" si="3067"/>
        <v>2100.0000000000005</v>
      </c>
      <c r="P2162" s="13"/>
      <c r="Q2162" s="13"/>
      <c r="R2162" s="13"/>
      <c r="S2162" s="13"/>
      <c r="T2162" s="13"/>
      <c r="U2162" s="13"/>
      <c r="V2162" s="13"/>
      <c r="W2162" s="13"/>
      <c r="X2162" s="13"/>
      <c r="Y2162" s="13"/>
      <c r="Z2162" s="13"/>
      <c r="AA2162" s="13"/>
      <c r="AB2162" s="13"/>
      <c r="AC2162" s="13"/>
      <c r="AD2162" s="13"/>
      <c r="AE2162" s="13"/>
      <c r="AF2162" s="13"/>
      <c r="AG2162" s="13"/>
    </row>
    <row r="2163" spans="1:33" s="14" customFormat="1" ht="15" customHeight="1">
      <c r="A2163" s="10">
        <v>43069</v>
      </c>
      <c r="B2163" s="3" t="s">
        <v>246</v>
      </c>
      <c r="C2163" s="15" t="s">
        <v>47</v>
      </c>
      <c r="D2163" s="15">
        <v>115</v>
      </c>
      <c r="E2163" s="11">
        <v>9000</v>
      </c>
      <c r="F2163" s="3" t="s">
        <v>8</v>
      </c>
      <c r="G2163" s="46">
        <v>3</v>
      </c>
      <c r="H2163" s="3">
        <v>3.3</v>
      </c>
      <c r="I2163" s="46">
        <v>3.6</v>
      </c>
      <c r="J2163" s="55">
        <v>4</v>
      </c>
      <c r="K2163" s="1">
        <f t="shared" ref="K2163" si="3090">(IF(F2163="SELL",G2163-H2163,IF(F2163="BUY",H2163-G2163)))*E2163</f>
        <v>2699.9999999999982</v>
      </c>
      <c r="L2163" s="51">
        <f t="shared" si="3086"/>
        <v>2700.0000000000023</v>
      </c>
      <c r="M2163" s="52">
        <f>(IF(F2163="SELL",IF(J2163="",0,I2163-J2163),IF(F2163="BUY",IF(J2163="",0,(J2163-I2163)))))*E2163</f>
        <v>3599.9999999999991</v>
      </c>
      <c r="N2163" s="2">
        <f t="shared" si="3051"/>
        <v>1</v>
      </c>
      <c r="O2163" s="2">
        <f t="shared" si="3067"/>
        <v>9000</v>
      </c>
      <c r="P2163" s="13"/>
      <c r="Q2163" s="13"/>
      <c r="R2163" s="13"/>
      <c r="S2163" s="13"/>
      <c r="T2163" s="13"/>
      <c r="U2163" s="13"/>
      <c r="V2163" s="13"/>
      <c r="W2163" s="13"/>
      <c r="X2163" s="13"/>
      <c r="Y2163" s="13"/>
      <c r="Z2163" s="13"/>
      <c r="AA2163" s="13"/>
      <c r="AB2163" s="13"/>
      <c r="AC2163" s="13"/>
      <c r="AD2163" s="13"/>
      <c r="AE2163" s="13"/>
      <c r="AF2163" s="13"/>
      <c r="AG2163" s="13"/>
    </row>
    <row r="2164" spans="1:33" s="14" customFormat="1" ht="15" customHeight="1">
      <c r="A2164" s="10">
        <v>43068</v>
      </c>
      <c r="B2164" s="3" t="s">
        <v>245</v>
      </c>
      <c r="C2164" s="15" t="s">
        <v>47</v>
      </c>
      <c r="D2164" s="15">
        <v>405</v>
      </c>
      <c r="E2164" s="11">
        <v>1400</v>
      </c>
      <c r="F2164" s="3" t="s">
        <v>8</v>
      </c>
      <c r="G2164" s="46">
        <v>4.5</v>
      </c>
      <c r="H2164" s="3">
        <v>2</v>
      </c>
      <c r="I2164" s="46">
        <v>0</v>
      </c>
      <c r="J2164" s="55">
        <v>0</v>
      </c>
      <c r="K2164" s="1">
        <f t="shared" ref="K2164" si="3091">(IF(F2164="SELL",G2164-H2164,IF(F2164="BUY",H2164-G2164)))*E2164</f>
        <v>-3500</v>
      </c>
      <c r="L2164" s="51">
        <v>0</v>
      </c>
      <c r="M2164" s="52">
        <v>0</v>
      </c>
      <c r="N2164" s="2">
        <f t="shared" si="3051"/>
        <v>-2.5</v>
      </c>
      <c r="O2164" s="2">
        <f t="shared" si="3067"/>
        <v>-3500</v>
      </c>
      <c r="P2164" s="13"/>
      <c r="Q2164" s="13"/>
      <c r="R2164" s="13"/>
      <c r="S2164" s="13"/>
      <c r="T2164" s="13"/>
      <c r="U2164" s="13"/>
      <c r="V2164" s="13"/>
      <c r="W2164" s="13"/>
      <c r="X2164" s="13"/>
      <c r="Y2164" s="13"/>
      <c r="Z2164" s="13"/>
      <c r="AA2164" s="13"/>
      <c r="AB2164" s="13"/>
      <c r="AC2164" s="13"/>
      <c r="AD2164" s="13"/>
      <c r="AE2164" s="13"/>
      <c r="AF2164" s="13"/>
      <c r="AG2164" s="13"/>
    </row>
    <row r="2165" spans="1:33" s="14" customFormat="1" ht="15" customHeight="1">
      <c r="A2165" s="10">
        <v>43068</v>
      </c>
      <c r="B2165" s="3" t="s">
        <v>154</v>
      </c>
      <c r="C2165" s="15" t="s">
        <v>47</v>
      </c>
      <c r="D2165" s="15">
        <v>510</v>
      </c>
      <c r="E2165" s="11">
        <v>1800</v>
      </c>
      <c r="F2165" s="3" t="s">
        <v>8</v>
      </c>
      <c r="G2165" s="46">
        <v>5.5</v>
      </c>
      <c r="H2165" s="3">
        <v>6.5</v>
      </c>
      <c r="I2165" s="46">
        <v>8</v>
      </c>
      <c r="J2165" s="55">
        <v>0</v>
      </c>
      <c r="K2165" s="1">
        <f t="shared" ref="K2165" si="3092">(IF(F2165="SELL",G2165-H2165,IF(F2165="BUY",H2165-G2165)))*E2165</f>
        <v>1800</v>
      </c>
      <c r="L2165" s="51">
        <f t="shared" si="3086"/>
        <v>2700</v>
      </c>
      <c r="M2165" s="52">
        <v>0</v>
      </c>
      <c r="N2165" s="2">
        <f t="shared" si="3051"/>
        <v>2.5</v>
      </c>
      <c r="O2165" s="2">
        <f t="shared" si="3067"/>
        <v>4500</v>
      </c>
      <c r="P2165" s="13"/>
      <c r="Q2165" s="13"/>
      <c r="R2165" s="13"/>
      <c r="S2165" s="13"/>
      <c r="T2165" s="13"/>
      <c r="U2165" s="13"/>
      <c r="V2165" s="13"/>
      <c r="W2165" s="13"/>
      <c r="X2165" s="13"/>
      <c r="Y2165" s="13"/>
      <c r="Z2165" s="13"/>
      <c r="AA2165" s="13"/>
      <c r="AB2165" s="13"/>
      <c r="AC2165" s="13"/>
      <c r="AD2165" s="13"/>
      <c r="AE2165" s="13"/>
      <c r="AF2165" s="13"/>
      <c r="AG2165" s="13"/>
    </row>
    <row r="2166" spans="1:33" s="14" customFormat="1" ht="15" customHeight="1">
      <c r="A2166" s="10">
        <v>43066</v>
      </c>
      <c r="B2166" s="3" t="s">
        <v>244</v>
      </c>
      <c r="C2166" s="15" t="s">
        <v>47</v>
      </c>
      <c r="D2166" s="15">
        <v>275</v>
      </c>
      <c r="E2166" s="11">
        <v>3000</v>
      </c>
      <c r="F2166" s="3" t="s">
        <v>8</v>
      </c>
      <c r="G2166" s="46">
        <v>4.5</v>
      </c>
      <c r="H2166" s="3">
        <v>5</v>
      </c>
      <c r="I2166" s="46">
        <v>6</v>
      </c>
      <c r="J2166" s="55">
        <v>0</v>
      </c>
      <c r="K2166" s="1">
        <f t="shared" ref="K2166" si="3093">(IF(F2166="SELL",G2166-H2166,IF(F2166="BUY",H2166-G2166)))*E2166</f>
        <v>1500</v>
      </c>
      <c r="L2166" s="51">
        <f t="shared" ref="L2166" si="3094">(IF(F2166="SELL",IF(I2166="",0,H2166-I2166),IF(F2166="BUY",IF(I2166="",0,I2166-H2166))))*E2166</f>
        <v>3000</v>
      </c>
      <c r="M2166" s="52">
        <v>0</v>
      </c>
      <c r="N2166" s="2">
        <f t="shared" si="3051"/>
        <v>1.5</v>
      </c>
      <c r="O2166" s="2">
        <f t="shared" si="3067"/>
        <v>4500</v>
      </c>
      <c r="P2166" s="13"/>
      <c r="Q2166" s="13"/>
      <c r="R2166" s="13"/>
      <c r="S2166" s="13"/>
      <c r="T2166" s="13"/>
      <c r="U2166" s="13"/>
      <c r="V2166" s="13"/>
      <c r="W2166" s="13"/>
      <c r="X2166" s="13"/>
      <c r="Y2166" s="13"/>
      <c r="Z2166" s="13"/>
      <c r="AA2166" s="13"/>
      <c r="AB2166" s="13"/>
      <c r="AC2166" s="13"/>
      <c r="AD2166" s="13"/>
      <c r="AE2166" s="13"/>
      <c r="AF2166" s="13"/>
      <c r="AG2166" s="13"/>
    </row>
    <row r="2167" spans="1:33" s="14" customFormat="1" ht="15" customHeight="1">
      <c r="A2167" s="10">
        <v>43066</v>
      </c>
      <c r="B2167" s="3" t="s">
        <v>213</v>
      </c>
      <c r="C2167" s="15" t="s">
        <v>47</v>
      </c>
      <c r="D2167" s="15">
        <v>450</v>
      </c>
      <c r="E2167" s="11">
        <v>2000</v>
      </c>
      <c r="F2167" s="3" t="s">
        <v>8</v>
      </c>
      <c r="G2167" s="46">
        <v>4.5</v>
      </c>
      <c r="H2167" s="3">
        <v>0</v>
      </c>
      <c r="I2167" s="46">
        <v>0</v>
      </c>
      <c r="J2167" s="55">
        <v>0</v>
      </c>
      <c r="K2167" s="1">
        <v>0</v>
      </c>
      <c r="L2167" s="51">
        <f t="shared" ref="L2167" si="3095">(IF(F2167="SELL",IF(I2167="",0,H2167-I2167),IF(F2167="BUY",IF(I2167="",0,I2167-H2167))))*E2167</f>
        <v>0</v>
      </c>
      <c r="M2167" s="52">
        <v>0</v>
      </c>
      <c r="N2167" s="2">
        <f t="shared" si="3051"/>
        <v>0</v>
      </c>
      <c r="O2167" s="2">
        <f t="shared" si="3067"/>
        <v>0</v>
      </c>
      <c r="P2167" s="13"/>
      <c r="Q2167" s="13"/>
      <c r="R2167" s="13"/>
      <c r="S2167" s="13"/>
      <c r="T2167" s="13"/>
      <c r="U2167" s="13"/>
      <c r="V2167" s="13"/>
      <c r="W2167" s="13"/>
      <c r="X2167" s="13"/>
      <c r="Y2167" s="13"/>
      <c r="Z2167" s="13"/>
      <c r="AA2167" s="13"/>
      <c r="AB2167" s="13"/>
      <c r="AC2167" s="13"/>
      <c r="AD2167" s="13"/>
      <c r="AE2167" s="13"/>
      <c r="AF2167" s="13"/>
      <c r="AG2167" s="13"/>
    </row>
    <row r="2168" spans="1:33" s="14" customFormat="1" ht="15" customHeight="1">
      <c r="A2168" s="10">
        <v>43062</v>
      </c>
      <c r="B2168" s="3" t="s">
        <v>172</v>
      </c>
      <c r="C2168" s="15" t="s">
        <v>47</v>
      </c>
      <c r="D2168" s="15">
        <v>430</v>
      </c>
      <c r="E2168" s="11">
        <v>1575</v>
      </c>
      <c r="F2168" s="3" t="s">
        <v>8</v>
      </c>
      <c r="G2168" s="46">
        <v>8</v>
      </c>
      <c r="H2168" s="3">
        <v>9</v>
      </c>
      <c r="I2168" s="46">
        <v>0</v>
      </c>
      <c r="J2168" s="55">
        <v>0</v>
      </c>
      <c r="K2168" s="1">
        <f t="shared" ref="K2168" si="3096">(IF(F2168="SELL",G2168-H2168,IF(F2168="BUY",H2168-G2168)))*E2168</f>
        <v>1575</v>
      </c>
      <c r="L2168" s="51">
        <v>0</v>
      </c>
      <c r="M2168" s="52">
        <v>0</v>
      </c>
      <c r="N2168" s="2">
        <f t="shared" si="3051"/>
        <v>1</v>
      </c>
      <c r="O2168" s="2">
        <f t="shared" si="3067"/>
        <v>1575</v>
      </c>
      <c r="P2168" s="13"/>
      <c r="Q2168" s="13"/>
      <c r="R2168" s="13"/>
      <c r="S2168" s="13"/>
      <c r="T2168" s="13"/>
      <c r="U2168" s="13"/>
      <c r="V2168" s="13"/>
      <c r="W2168" s="13"/>
      <c r="X2168" s="13"/>
      <c r="Y2168" s="13"/>
      <c r="Z2168" s="13"/>
      <c r="AA2168" s="13"/>
      <c r="AB2168" s="13"/>
      <c r="AC2168" s="13"/>
      <c r="AD2168" s="13"/>
      <c r="AE2168" s="13"/>
      <c r="AF2168" s="13"/>
      <c r="AG2168" s="13"/>
    </row>
    <row r="2169" spans="1:33" s="14" customFormat="1" ht="15" customHeight="1">
      <c r="A2169" s="10">
        <v>43061</v>
      </c>
      <c r="B2169" s="3" t="s">
        <v>243</v>
      </c>
      <c r="C2169" s="15" t="s">
        <v>47</v>
      </c>
      <c r="D2169" s="15">
        <v>410</v>
      </c>
      <c r="E2169" s="11">
        <v>3084</v>
      </c>
      <c r="F2169" s="3" t="s">
        <v>8</v>
      </c>
      <c r="G2169" s="46">
        <v>7</v>
      </c>
      <c r="H2169" s="3">
        <v>7.5</v>
      </c>
      <c r="I2169" s="46">
        <v>0</v>
      </c>
      <c r="J2169" s="55">
        <v>0</v>
      </c>
      <c r="K2169" s="1">
        <f t="shared" ref="K2169" si="3097">(IF(F2169="SELL",G2169-H2169,IF(F2169="BUY",H2169-G2169)))*E2169</f>
        <v>1542</v>
      </c>
      <c r="L2169" s="51">
        <v>0</v>
      </c>
      <c r="M2169" s="52">
        <v>0</v>
      </c>
      <c r="N2169" s="2">
        <f t="shared" si="3051"/>
        <v>0.5</v>
      </c>
      <c r="O2169" s="2">
        <f t="shared" si="3067"/>
        <v>1542</v>
      </c>
      <c r="P2169" s="13"/>
      <c r="Q2169" s="13"/>
      <c r="R2169" s="13"/>
      <c r="S2169" s="13"/>
      <c r="T2169" s="13"/>
      <c r="U2169" s="13"/>
      <c r="V2169" s="13"/>
      <c r="W2169" s="13"/>
      <c r="X2169" s="13"/>
      <c r="Y2169" s="13"/>
      <c r="Z2169" s="13"/>
      <c r="AA2169" s="13"/>
      <c r="AB2169" s="13"/>
      <c r="AC2169" s="13"/>
      <c r="AD2169" s="13"/>
      <c r="AE2169" s="13"/>
      <c r="AF2169" s="13"/>
      <c r="AG2169" s="13"/>
    </row>
    <row r="2170" spans="1:33" s="14" customFormat="1" ht="15" customHeight="1">
      <c r="A2170" s="10">
        <v>43061</v>
      </c>
      <c r="B2170" s="3" t="s">
        <v>161</v>
      </c>
      <c r="C2170" s="15" t="s">
        <v>47</v>
      </c>
      <c r="D2170" s="15">
        <v>430</v>
      </c>
      <c r="E2170" s="11">
        <v>1500</v>
      </c>
      <c r="F2170" s="3" t="s">
        <v>8</v>
      </c>
      <c r="G2170" s="46">
        <v>10</v>
      </c>
      <c r="H2170" s="3">
        <v>11</v>
      </c>
      <c r="I2170" s="46">
        <v>0</v>
      </c>
      <c r="J2170" s="55">
        <v>0</v>
      </c>
      <c r="K2170" s="1">
        <f t="shared" ref="K2170" si="3098">(IF(F2170="SELL",G2170-H2170,IF(F2170="BUY",H2170-G2170)))*E2170</f>
        <v>1500</v>
      </c>
      <c r="L2170" s="51">
        <v>0</v>
      </c>
      <c r="M2170" s="52">
        <v>0</v>
      </c>
      <c r="N2170" s="2">
        <f t="shared" si="3051"/>
        <v>1</v>
      </c>
      <c r="O2170" s="2">
        <f t="shared" si="3067"/>
        <v>1500</v>
      </c>
      <c r="P2170" s="13"/>
      <c r="Q2170" s="13"/>
      <c r="R2170" s="13"/>
      <c r="S2170" s="13"/>
      <c r="T2170" s="13"/>
      <c r="U2170" s="13"/>
      <c r="V2170" s="13"/>
      <c r="W2170" s="13"/>
      <c r="X2170" s="13"/>
      <c r="Y2170" s="13"/>
      <c r="Z2170" s="13"/>
      <c r="AA2170" s="13"/>
      <c r="AB2170" s="13"/>
      <c r="AC2170" s="13"/>
      <c r="AD2170" s="13"/>
      <c r="AE2170" s="13"/>
      <c r="AF2170" s="13"/>
      <c r="AG2170" s="13"/>
    </row>
    <row r="2171" spans="1:33" s="14" customFormat="1" ht="15" customHeight="1">
      <c r="A2171" s="10">
        <v>43061</v>
      </c>
      <c r="B2171" s="3" t="s">
        <v>213</v>
      </c>
      <c r="C2171" s="15" t="s">
        <v>47</v>
      </c>
      <c r="D2171" s="15">
        <v>440</v>
      </c>
      <c r="E2171" s="11">
        <v>2000</v>
      </c>
      <c r="F2171" s="3" t="s">
        <v>8</v>
      </c>
      <c r="G2171" s="46">
        <v>7</v>
      </c>
      <c r="H2171" s="3">
        <v>8</v>
      </c>
      <c r="I2171" s="46">
        <v>0</v>
      </c>
      <c r="J2171" s="55">
        <v>0</v>
      </c>
      <c r="K2171" s="1">
        <f>(IF(F2171="SELL",G2171-H2171,IF(F2171="BUY",H2171-G2171)))*E2171</f>
        <v>2000</v>
      </c>
      <c r="L2171" s="51">
        <v>0</v>
      </c>
      <c r="M2171" s="52">
        <v>0</v>
      </c>
      <c r="N2171" s="2">
        <f t="shared" si="3051"/>
        <v>1</v>
      </c>
      <c r="O2171" s="2">
        <f t="shared" si="3067"/>
        <v>2000</v>
      </c>
      <c r="P2171" s="13"/>
      <c r="Q2171" s="13"/>
      <c r="R2171" s="13"/>
      <c r="S2171" s="13"/>
      <c r="T2171" s="13"/>
      <c r="U2171" s="13"/>
      <c r="V2171" s="13"/>
      <c r="W2171" s="13"/>
      <c r="X2171" s="13"/>
      <c r="Y2171" s="13"/>
      <c r="Z2171" s="13"/>
      <c r="AA2171" s="13"/>
      <c r="AB2171" s="13"/>
      <c r="AC2171" s="13"/>
      <c r="AD2171" s="13"/>
      <c r="AE2171" s="13"/>
      <c r="AF2171" s="13"/>
      <c r="AG2171" s="13"/>
    </row>
    <row r="2172" spans="1:33" s="14" customFormat="1" ht="15" customHeight="1">
      <c r="A2172" s="10">
        <v>43060</v>
      </c>
      <c r="B2172" s="3" t="s">
        <v>242</v>
      </c>
      <c r="C2172" s="15" t="s">
        <v>47</v>
      </c>
      <c r="D2172" s="15">
        <v>740</v>
      </c>
      <c r="E2172" s="11">
        <v>800</v>
      </c>
      <c r="F2172" s="3" t="s">
        <v>8</v>
      </c>
      <c r="G2172" s="46">
        <v>13</v>
      </c>
      <c r="H2172" s="3">
        <v>0</v>
      </c>
      <c r="I2172" s="46">
        <v>0</v>
      </c>
      <c r="J2172" s="55">
        <v>0</v>
      </c>
      <c r="K2172" s="1">
        <v>0</v>
      </c>
      <c r="L2172" s="51">
        <f t="shared" ref="L2172" si="3099">(IF(F2172="SELL",IF(I2172="",0,H2172-I2172),IF(F2172="BUY",IF(I2172="",0,I2172-H2172))))*E2172</f>
        <v>0</v>
      </c>
      <c r="M2172" s="52">
        <v>0</v>
      </c>
      <c r="N2172" s="2">
        <f t="shared" si="3051"/>
        <v>0</v>
      </c>
      <c r="O2172" s="2">
        <f t="shared" si="3067"/>
        <v>0</v>
      </c>
      <c r="P2172" s="13"/>
      <c r="Q2172" s="13"/>
      <c r="R2172" s="13"/>
      <c r="S2172" s="13"/>
      <c r="T2172" s="13"/>
      <c r="U2172" s="13"/>
      <c r="V2172" s="13"/>
      <c r="W2172" s="13"/>
      <c r="X2172" s="13"/>
      <c r="Y2172" s="13"/>
      <c r="Z2172" s="13"/>
      <c r="AA2172" s="13"/>
      <c r="AB2172" s="13"/>
      <c r="AC2172" s="13"/>
      <c r="AD2172" s="13"/>
      <c r="AE2172" s="13"/>
      <c r="AF2172" s="13"/>
      <c r="AG2172" s="13"/>
    </row>
    <row r="2173" spans="1:33" s="14" customFormat="1" ht="15" customHeight="1">
      <c r="A2173" s="10">
        <v>43059</v>
      </c>
      <c r="B2173" s="3" t="s">
        <v>206</v>
      </c>
      <c r="C2173" s="15" t="s">
        <v>47</v>
      </c>
      <c r="D2173" s="15">
        <v>560</v>
      </c>
      <c r="E2173" s="11">
        <v>1500</v>
      </c>
      <c r="F2173" s="3" t="s">
        <v>8</v>
      </c>
      <c r="G2173" s="46">
        <v>13</v>
      </c>
      <c r="H2173" s="3">
        <v>14</v>
      </c>
      <c r="I2173" s="46">
        <v>16</v>
      </c>
      <c r="J2173" s="55">
        <v>18</v>
      </c>
      <c r="K2173" s="1">
        <f t="shared" ref="K2173" si="3100">(IF(F2173="SELL",G2173-H2173,IF(F2173="BUY",H2173-G2173)))*E2173</f>
        <v>1500</v>
      </c>
      <c r="L2173" s="51">
        <f t="shared" ref="L2173" si="3101">(IF(F2173="SELL",IF(I2173="",0,H2173-I2173),IF(F2173="BUY",IF(I2173="",0,I2173-H2173))))*E2173</f>
        <v>3000</v>
      </c>
      <c r="M2173" s="52">
        <f>(IF(F2173="SELL",IF(J2173="",0,I2173-J2173),IF(F2173="BUY",IF(J2173="",0,(J2173-I2173)))))*E2173</f>
        <v>3000</v>
      </c>
      <c r="N2173" s="2">
        <f t="shared" si="3051"/>
        <v>5</v>
      </c>
      <c r="O2173" s="2">
        <f t="shared" si="3067"/>
        <v>7500</v>
      </c>
      <c r="P2173" s="13"/>
      <c r="Q2173" s="13"/>
      <c r="R2173" s="13"/>
      <c r="S2173" s="13"/>
      <c r="T2173" s="13"/>
      <c r="U2173" s="13"/>
      <c r="V2173" s="13"/>
      <c r="W2173" s="13"/>
      <c r="X2173" s="13"/>
      <c r="Y2173" s="13"/>
      <c r="Z2173" s="13"/>
      <c r="AA2173" s="13"/>
      <c r="AB2173" s="13"/>
      <c r="AC2173" s="13"/>
      <c r="AD2173" s="13"/>
      <c r="AE2173" s="13"/>
      <c r="AF2173" s="13"/>
      <c r="AG2173" s="13"/>
    </row>
    <row r="2174" spans="1:33" s="14" customFormat="1" ht="15" customHeight="1">
      <c r="A2174" s="10">
        <v>43059</v>
      </c>
      <c r="B2174" s="3" t="s">
        <v>241</v>
      </c>
      <c r="C2174" s="15" t="s">
        <v>47</v>
      </c>
      <c r="D2174" s="15">
        <v>125</v>
      </c>
      <c r="E2174" s="11">
        <v>5000</v>
      </c>
      <c r="F2174" s="3" t="s">
        <v>8</v>
      </c>
      <c r="G2174" s="46">
        <v>4.2</v>
      </c>
      <c r="H2174" s="3">
        <v>4.7</v>
      </c>
      <c r="I2174" s="46">
        <v>0</v>
      </c>
      <c r="J2174" s="55">
        <v>0</v>
      </c>
      <c r="K2174" s="1">
        <f t="shared" ref="K2174" si="3102">(IF(F2174="SELL",G2174-H2174,IF(F2174="BUY",H2174-G2174)))*E2174</f>
        <v>2500</v>
      </c>
      <c r="L2174" s="51">
        <v>0</v>
      </c>
      <c r="M2174" s="52">
        <v>0</v>
      </c>
      <c r="N2174" s="2">
        <f t="shared" si="3051"/>
        <v>0.5</v>
      </c>
      <c r="O2174" s="2">
        <f t="shared" si="3067"/>
        <v>2500</v>
      </c>
      <c r="P2174" s="13"/>
      <c r="Q2174" s="13"/>
      <c r="R2174" s="13"/>
      <c r="S2174" s="13"/>
      <c r="T2174" s="13"/>
      <c r="U2174" s="13"/>
      <c r="V2174" s="13"/>
      <c r="W2174" s="13"/>
      <c r="X2174" s="13"/>
      <c r="Y2174" s="13"/>
      <c r="Z2174" s="13"/>
      <c r="AA2174" s="13"/>
      <c r="AB2174" s="13"/>
      <c r="AC2174" s="13"/>
      <c r="AD2174" s="13"/>
      <c r="AE2174" s="13"/>
      <c r="AF2174" s="13"/>
      <c r="AG2174" s="13"/>
    </row>
    <row r="2175" spans="1:33" s="14" customFormat="1" ht="15" customHeight="1">
      <c r="A2175" s="10">
        <v>43059</v>
      </c>
      <c r="B2175" s="3" t="s">
        <v>209</v>
      </c>
      <c r="C2175" s="15" t="s">
        <v>47</v>
      </c>
      <c r="D2175" s="15">
        <v>630</v>
      </c>
      <c r="E2175" s="11">
        <v>1000</v>
      </c>
      <c r="F2175" s="3" t="s">
        <v>8</v>
      </c>
      <c r="G2175" s="46">
        <v>12.5</v>
      </c>
      <c r="H2175" s="3">
        <v>14</v>
      </c>
      <c r="I2175" s="46">
        <v>0</v>
      </c>
      <c r="J2175" s="55">
        <v>0</v>
      </c>
      <c r="K2175" s="1">
        <f t="shared" ref="K2175" si="3103">(IF(F2175="SELL",G2175-H2175,IF(F2175="BUY",H2175-G2175)))*E2175</f>
        <v>1500</v>
      </c>
      <c r="L2175" s="51">
        <v>0</v>
      </c>
      <c r="M2175" s="52">
        <v>0</v>
      </c>
      <c r="N2175" s="2">
        <f t="shared" si="3051"/>
        <v>1.5</v>
      </c>
      <c r="O2175" s="2">
        <f t="shared" si="3067"/>
        <v>1500</v>
      </c>
      <c r="P2175" s="13"/>
      <c r="Q2175" s="13"/>
      <c r="R2175" s="13"/>
      <c r="S2175" s="13"/>
      <c r="T2175" s="13"/>
      <c r="U2175" s="13"/>
      <c r="V2175" s="13"/>
      <c r="W2175" s="13"/>
      <c r="X2175" s="13"/>
      <c r="Y2175" s="13"/>
      <c r="Z2175" s="13"/>
      <c r="AA2175" s="13"/>
      <c r="AB2175" s="13"/>
      <c r="AC2175" s="13"/>
      <c r="AD2175" s="13"/>
      <c r="AE2175" s="13"/>
      <c r="AF2175" s="13"/>
      <c r="AG2175" s="13"/>
    </row>
    <row r="2176" spans="1:33" s="14" customFormat="1" ht="15" customHeight="1">
      <c r="A2176" s="10">
        <v>43056</v>
      </c>
      <c r="B2176" s="3" t="s">
        <v>240</v>
      </c>
      <c r="C2176" s="15" t="s">
        <v>47</v>
      </c>
      <c r="D2176" s="15">
        <v>130</v>
      </c>
      <c r="E2176" s="11">
        <v>3500</v>
      </c>
      <c r="F2176" s="3" t="s">
        <v>8</v>
      </c>
      <c r="G2176" s="46">
        <v>5</v>
      </c>
      <c r="H2176" s="3">
        <v>5.5</v>
      </c>
      <c r="I2176" s="46">
        <v>0</v>
      </c>
      <c r="J2176" s="55">
        <v>0</v>
      </c>
      <c r="K2176" s="1">
        <f t="shared" ref="K2176" si="3104">(IF(F2176="SELL",G2176-H2176,IF(F2176="BUY",H2176-G2176)))*E2176</f>
        <v>1750</v>
      </c>
      <c r="L2176" s="51">
        <v>0</v>
      </c>
      <c r="M2176" s="52">
        <v>0</v>
      </c>
      <c r="N2176" s="2">
        <f t="shared" si="3051"/>
        <v>0.5</v>
      </c>
      <c r="O2176" s="2">
        <f t="shared" si="3067"/>
        <v>1750</v>
      </c>
      <c r="P2176" s="13"/>
      <c r="Q2176" s="13"/>
      <c r="R2176" s="13"/>
      <c r="S2176" s="13"/>
      <c r="T2176" s="13"/>
      <c r="U2176" s="13"/>
      <c r="V2176" s="13"/>
      <c r="W2176" s="13"/>
      <c r="X2176" s="13"/>
      <c r="Y2176" s="13"/>
      <c r="Z2176" s="13"/>
      <c r="AA2176" s="13"/>
      <c r="AB2176" s="13"/>
      <c r="AC2176" s="13"/>
      <c r="AD2176" s="13"/>
      <c r="AE2176" s="13"/>
      <c r="AF2176" s="13"/>
      <c r="AG2176" s="13"/>
    </row>
    <row r="2177" spans="1:33" s="14" customFormat="1" ht="15" customHeight="1">
      <c r="A2177" s="10">
        <v>43056</v>
      </c>
      <c r="B2177" s="3" t="s">
        <v>239</v>
      </c>
      <c r="C2177" s="15" t="s">
        <v>47</v>
      </c>
      <c r="D2177" s="15">
        <v>220</v>
      </c>
      <c r="E2177" s="11">
        <v>5000</v>
      </c>
      <c r="F2177" s="3" t="s">
        <v>8</v>
      </c>
      <c r="G2177" s="46">
        <v>7.6</v>
      </c>
      <c r="H2177" s="3">
        <v>8</v>
      </c>
      <c r="I2177" s="46">
        <v>8.6999999999999993</v>
      </c>
      <c r="J2177" s="55">
        <v>0</v>
      </c>
      <c r="K2177" s="1">
        <f t="shared" ref="K2177" si="3105">(IF(F2177="SELL",G2177-H2177,IF(F2177="BUY",H2177-G2177)))*E2177</f>
        <v>2000.0000000000018</v>
      </c>
      <c r="L2177" s="51">
        <f t="shared" ref="L2177" si="3106">(IF(F2177="SELL",IF(I2177="",0,H2177-I2177),IF(F2177="BUY",IF(I2177="",0,I2177-H2177))))*E2177</f>
        <v>3499.9999999999964</v>
      </c>
      <c r="M2177" s="52">
        <v>0</v>
      </c>
      <c r="N2177" s="2">
        <f t="shared" si="3051"/>
        <v>1.0999999999999996</v>
      </c>
      <c r="O2177" s="2">
        <f t="shared" si="3067"/>
        <v>5499.9999999999982</v>
      </c>
      <c r="P2177" s="13"/>
      <c r="Q2177" s="13"/>
      <c r="R2177" s="13"/>
      <c r="S2177" s="13"/>
      <c r="T2177" s="13"/>
      <c r="U2177" s="13"/>
      <c r="V2177" s="13"/>
      <c r="W2177" s="13"/>
      <c r="X2177" s="13"/>
      <c r="Y2177" s="13"/>
      <c r="Z2177" s="13"/>
      <c r="AA2177" s="13"/>
      <c r="AB2177" s="13"/>
      <c r="AC2177" s="13"/>
      <c r="AD2177" s="13"/>
      <c r="AE2177" s="13"/>
      <c r="AF2177" s="13"/>
      <c r="AG2177" s="13"/>
    </row>
    <row r="2178" spans="1:33" s="14" customFormat="1" ht="15" customHeight="1">
      <c r="A2178" s="10">
        <v>43056</v>
      </c>
      <c r="B2178" s="3" t="s">
        <v>238</v>
      </c>
      <c r="C2178" s="15" t="s">
        <v>47</v>
      </c>
      <c r="D2178" s="15">
        <v>330</v>
      </c>
      <c r="E2178" s="11">
        <v>2750</v>
      </c>
      <c r="F2178" s="3" t="s">
        <v>8</v>
      </c>
      <c r="G2178" s="46">
        <v>8</v>
      </c>
      <c r="H2178" s="3">
        <v>8.6999999999999993</v>
      </c>
      <c r="I2178" s="46">
        <v>0</v>
      </c>
      <c r="J2178" s="55">
        <v>0</v>
      </c>
      <c r="K2178" s="1">
        <f t="shared" ref="K2178" si="3107">(IF(F2178="SELL",G2178-H2178,IF(F2178="BUY",H2178-G2178)))*E2178</f>
        <v>1924.999999999998</v>
      </c>
      <c r="L2178" s="51">
        <v>0</v>
      </c>
      <c r="M2178" s="52">
        <v>0</v>
      </c>
      <c r="N2178" s="2">
        <f t="shared" si="3051"/>
        <v>0.69999999999999929</v>
      </c>
      <c r="O2178" s="2">
        <f t="shared" si="3067"/>
        <v>1924.999999999998</v>
      </c>
      <c r="P2178" s="13"/>
      <c r="Q2178" s="13"/>
      <c r="R2178" s="13"/>
      <c r="S2178" s="13"/>
      <c r="T2178" s="13"/>
      <c r="U2178" s="13"/>
      <c r="V2178" s="13"/>
      <c r="W2178" s="13"/>
      <c r="X2178" s="13"/>
      <c r="Y2178" s="13"/>
      <c r="Z2178" s="13"/>
      <c r="AA2178" s="13"/>
      <c r="AB2178" s="13"/>
      <c r="AC2178" s="13"/>
      <c r="AD2178" s="13"/>
      <c r="AE2178" s="13"/>
      <c r="AF2178" s="13"/>
      <c r="AG2178" s="13"/>
    </row>
    <row r="2179" spans="1:33" s="14" customFormat="1" ht="15" customHeight="1">
      <c r="A2179" s="10">
        <v>43055</v>
      </c>
      <c r="B2179" s="3" t="s">
        <v>139</v>
      </c>
      <c r="C2179" s="15" t="s">
        <v>47</v>
      </c>
      <c r="D2179" s="15">
        <v>1750</v>
      </c>
      <c r="E2179" s="11">
        <v>500</v>
      </c>
      <c r="F2179" s="3" t="s">
        <v>8</v>
      </c>
      <c r="G2179" s="46">
        <v>44</v>
      </c>
      <c r="H2179" s="3">
        <v>47</v>
      </c>
      <c r="I2179" s="46">
        <v>50</v>
      </c>
      <c r="J2179" s="55">
        <v>55</v>
      </c>
      <c r="K2179" s="1">
        <f t="shared" ref="K2179" si="3108">(IF(F2179="SELL",G2179-H2179,IF(F2179="BUY",H2179-G2179)))*E2179</f>
        <v>1500</v>
      </c>
      <c r="L2179" s="51">
        <f t="shared" ref="L2179:L2180" si="3109">(IF(F2179="SELL",IF(I2179="",0,H2179-I2179),IF(F2179="BUY",IF(I2179="",0,I2179-H2179))))*E2179</f>
        <v>1500</v>
      </c>
      <c r="M2179" s="52">
        <f>(IF(F2179="SELL",IF(J2179="",0,I2179-J2179),IF(F2179="BUY",IF(J2179="",0,(J2179-I2179)))))*E2179</f>
        <v>2500</v>
      </c>
      <c r="N2179" s="2">
        <f t="shared" si="3051"/>
        <v>11</v>
      </c>
      <c r="O2179" s="2">
        <f t="shared" si="3067"/>
        <v>5500</v>
      </c>
      <c r="P2179" s="13"/>
      <c r="Q2179" s="13"/>
      <c r="R2179" s="13"/>
      <c r="S2179" s="13"/>
      <c r="T2179" s="13"/>
      <c r="U2179" s="13"/>
      <c r="V2179" s="13"/>
      <c r="W2179" s="13"/>
      <c r="X2179" s="13"/>
      <c r="Y2179" s="13"/>
      <c r="Z2179" s="13"/>
      <c r="AA2179" s="13"/>
      <c r="AB2179" s="13"/>
      <c r="AC2179" s="13"/>
      <c r="AD2179" s="13"/>
      <c r="AE2179" s="13"/>
      <c r="AF2179" s="13"/>
      <c r="AG2179" s="13"/>
    </row>
    <row r="2180" spans="1:33" s="14" customFormat="1" ht="15" customHeight="1">
      <c r="A2180" s="10">
        <v>43055</v>
      </c>
      <c r="B2180" s="3" t="s">
        <v>237</v>
      </c>
      <c r="C2180" s="15" t="s">
        <v>47</v>
      </c>
      <c r="D2180" s="15">
        <v>720</v>
      </c>
      <c r="E2180" s="11">
        <v>800</v>
      </c>
      <c r="F2180" s="3" t="s">
        <v>8</v>
      </c>
      <c r="G2180" s="46">
        <v>9.5</v>
      </c>
      <c r="H2180" s="3">
        <v>12</v>
      </c>
      <c r="I2180" s="46">
        <v>14.9</v>
      </c>
      <c r="J2180" s="55">
        <v>0</v>
      </c>
      <c r="K2180" s="1">
        <f t="shared" ref="K2180" si="3110">(IF(F2180="SELL",G2180-H2180,IF(F2180="BUY",H2180-G2180)))*E2180</f>
        <v>2000</v>
      </c>
      <c r="L2180" s="51">
        <f t="shared" si="3109"/>
        <v>2320.0000000000005</v>
      </c>
      <c r="M2180" s="52">
        <v>0</v>
      </c>
      <c r="N2180" s="2">
        <f t="shared" si="3051"/>
        <v>5.4</v>
      </c>
      <c r="O2180" s="2">
        <f t="shared" si="3067"/>
        <v>4320</v>
      </c>
      <c r="P2180" s="13"/>
      <c r="Q2180" s="13"/>
      <c r="R2180" s="13"/>
      <c r="S2180" s="13"/>
      <c r="T2180" s="13"/>
      <c r="U2180" s="13"/>
      <c r="V2180" s="13"/>
      <c r="W2180" s="13"/>
      <c r="X2180" s="13"/>
      <c r="Y2180" s="13"/>
      <c r="Z2180" s="13"/>
      <c r="AA2180" s="13"/>
      <c r="AB2180" s="13"/>
      <c r="AC2180" s="13"/>
      <c r="AD2180" s="13"/>
      <c r="AE2180" s="13"/>
      <c r="AF2180" s="13"/>
      <c r="AG2180" s="13"/>
    </row>
    <row r="2181" spans="1:33" s="14" customFormat="1" ht="15" customHeight="1">
      <c r="A2181" s="10">
        <v>43055</v>
      </c>
      <c r="B2181" s="3" t="s">
        <v>236</v>
      </c>
      <c r="C2181" s="15" t="s">
        <v>47</v>
      </c>
      <c r="D2181" s="15">
        <v>205</v>
      </c>
      <c r="E2181" s="11">
        <v>4000</v>
      </c>
      <c r="F2181" s="3" t="s">
        <v>8</v>
      </c>
      <c r="G2181" s="46">
        <v>5.5</v>
      </c>
      <c r="H2181" s="3">
        <v>6</v>
      </c>
      <c r="I2181" s="46">
        <v>0</v>
      </c>
      <c r="J2181" s="55">
        <v>0</v>
      </c>
      <c r="K2181" s="1">
        <f t="shared" ref="K2181" si="3111">(IF(F2181="SELL",G2181-H2181,IF(F2181="BUY",H2181-G2181)))*E2181</f>
        <v>2000</v>
      </c>
      <c r="L2181" s="51">
        <v>0</v>
      </c>
      <c r="M2181" s="52">
        <v>0</v>
      </c>
      <c r="N2181" s="2">
        <f t="shared" si="3051"/>
        <v>0.5</v>
      </c>
      <c r="O2181" s="2">
        <f t="shared" si="3067"/>
        <v>2000</v>
      </c>
      <c r="P2181" s="13"/>
      <c r="Q2181" s="13"/>
      <c r="R2181" s="13"/>
      <c r="S2181" s="13"/>
      <c r="T2181" s="13"/>
      <c r="U2181" s="13"/>
      <c r="V2181" s="13"/>
      <c r="W2181" s="13"/>
      <c r="X2181" s="13"/>
      <c r="Y2181" s="13"/>
      <c r="Z2181" s="13"/>
      <c r="AA2181" s="13"/>
      <c r="AB2181" s="13"/>
      <c r="AC2181" s="13"/>
      <c r="AD2181" s="13"/>
      <c r="AE2181" s="13"/>
      <c r="AF2181" s="13"/>
      <c r="AG2181" s="13"/>
    </row>
    <row r="2182" spans="1:33" s="14" customFormat="1" ht="15" customHeight="1">
      <c r="A2182" s="10">
        <v>43055</v>
      </c>
      <c r="B2182" s="3" t="s">
        <v>212</v>
      </c>
      <c r="C2182" s="15" t="s">
        <v>47</v>
      </c>
      <c r="D2182" s="15">
        <v>180</v>
      </c>
      <c r="E2182" s="11">
        <v>4950</v>
      </c>
      <c r="F2182" s="3" t="s">
        <v>8</v>
      </c>
      <c r="G2182" s="46">
        <v>4.1500000000000004</v>
      </c>
      <c r="H2182" s="3">
        <v>4.5999999999999996</v>
      </c>
      <c r="I2182" s="46">
        <v>0</v>
      </c>
      <c r="J2182" s="55">
        <v>0</v>
      </c>
      <c r="K2182" s="1">
        <f t="shared" ref="K2182" si="3112">(IF(F2182="SELL",G2182-H2182,IF(F2182="BUY",H2182-G2182)))*E2182</f>
        <v>2227.4999999999964</v>
      </c>
      <c r="L2182" s="51">
        <v>0</v>
      </c>
      <c r="M2182" s="52">
        <v>0</v>
      </c>
      <c r="N2182" s="2">
        <f t="shared" si="3051"/>
        <v>0.44999999999999929</v>
      </c>
      <c r="O2182" s="2">
        <f t="shared" si="3067"/>
        <v>2227.4999999999964</v>
      </c>
      <c r="P2182" s="13"/>
      <c r="Q2182" s="13"/>
      <c r="R2182" s="13"/>
      <c r="S2182" s="13"/>
      <c r="T2182" s="13"/>
      <c r="U2182" s="13"/>
      <c r="V2182" s="13"/>
      <c r="W2182" s="13"/>
      <c r="X2182" s="13"/>
      <c r="Y2182" s="13"/>
      <c r="Z2182" s="13"/>
      <c r="AA2182" s="13"/>
      <c r="AB2182" s="13"/>
      <c r="AC2182" s="13"/>
      <c r="AD2182" s="13"/>
      <c r="AE2182" s="13"/>
      <c r="AF2182" s="13"/>
      <c r="AG2182" s="13"/>
    </row>
    <row r="2183" spans="1:33" s="14" customFormat="1" ht="15" customHeight="1">
      <c r="A2183" s="10">
        <v>43054</v>
      </c>
      <c r="B2183" s="3" t="s">
        <v>167</v>
      </c>
      <c r="C2183" s="15" t="s">
        <v>46</v>
      </c>
      <c r="D2183" s="15">
        <v>980</v>
      </c>
      <c r="E2183" s="11">
        <v>1000</v>
      </c>
      <c r="F2183" s="3" t="s">
        <v>8</v>
      </c>
      <c r="G2183" s="46">
        <v>22.3</v>
      </c>
      <c r="H2183" s="3">
        <v>25.5</v>
      </c>
      <c r="I2183" s="46">
        <v>30</v>
      </c>
      <c r="J2183" s="55">
        <v>0</v>
      </c>
      <c r="K2183" s="1">
        <f t="shared" ref="K2183" si="3113">(IF(F2183="SELL",G2183-H2183,IF(F2183="BUY",H2183-G2183)))*E2183</f>
        <v>3199.9999999999991</v>
      </c>
      <c r="L2183" s="51">
        <f t="shared" ref="L2183" si="3114">(IF(F2183="SELL",IF(I2183="",0,H2183-I2183),IF(F2183="BUY",IF(I2183="",0,I2183-H2183))))*E2183</f>
        <v>4500</v>
      </c>
      <c r="M2183" s="52">
        <v>0</v>
      </c>
      <c r="N2183" s="2">
        <f t="shared" si="3051"/>
        <v>7.6999999999999993</v>
      </c>
      <c r="O2183" s="2">
        <f t="shared" si="3067"/>
        <v>7699.9999999999991</v>
      </c>
      <c r="P2183" s="13"/>
      <c r="Q2183" s="13"/>
      <c r="R2183" s="13"/>
      <c r="S2183" s="13"/>
      <c r="T2183" s="13"/>
      <c r="U2183" s="13"/>
      <c r="V2183" s="13"/>
      <c r="W2183" s="13"/>
      <c r="X2183" s="13"/>
      <c r="Y2183" s="13"/>
      <c r="Z2183" s="13"/>
      <c r="AA2183" s="13"/>
      <c r="AB2183" s="13"/>
      <c r="AC2183" s="13"/>
      <c r="AD2183" s="13"/>
      <c r="AE2183" s="13"/>
      <c r="AF2183" s="13"/>
      <c r="AG2183" s="13"/>
    </row>
    <row r="2184" spans="1:33" s="14" customFormat="1" ht="15" customHeight="1">
      <c r="A2184" s="10">
        <v>43054</v>
      </c>
      <c r="B2184" s="3" t="s">
        <v>224</v>
      </c>
      <c r="C2184" s="15" t="s">
        <v>46</v>
      </c>
      <c r="D2184" s="15">
        <v>335</v>
      </c>
      <c r="E2184" s="11">
        <v>3000</v>
      </c>
      <c r="F2184" s="3" t="s">
        <v>8</v>
      </c>
      <c r="G2184" s="46">
        <v>7.5</v>
      </c>
      <c r="H2184" s="3">
        <v>8.25</v>
      </c>
      <c r="I2184" s="46">
        <v>16</v>
      </c>
      <c r="J2184" s="55">
        <v>19</v>
      </c>
      <c r="K2184" s="1">
        <f t="shared" ref="K2184" si="3115">(IF(F2184="SELL",G2184-H2184,IF(F2184="BUY",H2184-G2184)))*E2184</f>
        <v>2250</v>
      </c>
      <c r="L2184" s="51">
        <v>0</v>
      </c>
      <c r="M2184" s="52">
        <v>0</v>
      </c>
      <c r="N2184" s="2">
        <f t="shared" si="3051"/>
        <v>0.75</v>
      </c>
      <c r="O2184" s="2">
        <f t="shared" si="3067"/>
        <v>2250</v>
      </c>
      <c r="P2184" s="13"/>
      <c r="Q2184" s="13"/>
      <c r="R2184" s="13"/>
      <c r="S2184" s="13"/>
      <c r="T2184" s="13"/>
      <c r="U2184" s="13"/>
      <c r="V2184" s="13"/>
      <c r="W2184" s="13"/>
      <c r="X2184" s="13"/>
      <c r="Y2184" s="13"/>
      <c r="Z2184" s="13"/>
      <c r="AA2184" s="13"/>
      <c r="AB2184" s="13"/>
      <c r="AC2184" s="13"/>
      <c r="AD2184" s="13"/>
      <c r="AE2184" s="13"/>
      <c r="AF2184" s="13"/>
      <c r="AG2184" s="13"/>
    </row>
    <row r="2185" spans="1:33" s="14" customFormat="1" ht="15" customHeight="1">
      <c r="A2185" s="10">
        <v>43053</v>
      </c>
      <c r="B2185" s="3" t="s">
        <v>235</v>
      </c>
      <c r="C2185" s="15" t="s">
        <v>46</v>
      </c>
      <c r="D2185" s="15">
        <v>100</v>
      </c>
      <c r="E2185" s="11">
        <v>8000</v>
      </c>
      <c r="F2185" s="3" t="s">
        <v>8</v>
      </c>
      <c r="G2185" s="46">
        <v>4</v>
      </c>
      <c r="H2185" s="3">
        <v>4.5</v>
      </c>
      <c r="I2185" s="46">
        <v>5.5</v>
      </c>
      <c r="J2185" s="55">
        <v>6.5</v>
      </c>
      <c r="K2185" s="1">
        <f t="shared" ref="K2185" si="3116">(IF(F2185="SELL",G2185-H2185,IF(F2185="BUY",H2185-G2185)))*E2185</f>
        <v>4000</v>
      </c>
      <c r="L2185" s="51">
        <f t="shared" ref="L2185" si="3117">(IF(F2185="SELL",IF(I2185="",0,H2185-I2185),IF(F2185="BUY",IF(I2185="",0,I2185-H2185))))*E2185</f>
        <v>8000</v>
      </c>
      <c r="M2185" s="52">
        <f>(IF(F2185="SELL",IF(J2185="",0,I2185-J2185),IF(F2185="BUY",IF(J2185="",0,(J2185-I2185)))))*E2185</f>
        <v>8000</v>
      </c>
      <c r="N2185" s="2">
        <f t="shared" si="3051"/>
        <v>2.5</v>
      </c>
      <c r="O2185" s="2">
        <f t="shared" si="3067"/>
        <v>20000</v>
      </c>
      <c r="P2185" s="13"/>
      <c r="Q2185" s="13"/>
      <c r="R2185" s="13"/>
      <c r="S2185" s="13"/>
      <c r="T2185" s="13"/>
      <c r="U2185" s="13"/>
      <c r="V2185" s="13"/>
      <c r="W2185" s="13"/>
      <c r="X2185" s="13"/>
      <c r="Y2185" s="13"/>
      <c r="Z2185" s="13"/>
      <c r="AA2185" s="13"/>
      <c r="AB2185" s="13"/>
      <c r="AC2185" s="13"/>
      <c r="AD2185" s="13"/>
      <c r="AE2185" s="13"/>
      <c r="AF2185" s="13"/>
      <c r="AG2185" s="13"/>
    </row>
    <row r="2186" spans="1:33" s="14" customFormat="1" ht="15" customHeight="1">
      <c r="A2186" s="10">
        <v>43053</v>
      </c>
      <c r="B2186" s="3" t="s">
        <v>234</v>
      </c>
      <c r="C2186" s="15" t="s">
        <v>47</v>
      </c>
      <c r="D2186" s="15">
        <v>235</v>
      </c>
      <c r="E2186" s="11">
        <v>4500</v>
      </c>
      <c r="F2186" s="3" t="s">
        <v>8</v>
      </c>
      <c r="G2186" s="46">
        <v>7</v>
      </c>
      <c r="H2186" s="3">
        <v>7.5</v>
      </c>
      <c r="I2186" s="46">
        <v>9</v>
      </c>
      <c r="J2186" s="55">
        <v>10</v>
      </c>
      <c r="K2186" s="1">
        <f t="shared" ref="K2186" si="3118">(IF(F2186="SELL",G2186-H2186,IF(F2186="BUY",H2186-G2186)))*E2186</f>
        <v>2250</v>
      </c>
      <c r="L2186" s="51">
        <f t="shared" ref="L2186" si="3119">(IF(F2186="SELL",IF(I2186="",0,H2186-I2186),IF(F2186="BUY",IF(I2186="",0,I2186-H2186))))*E2186</f>
        <v>6750</v>
      </c>
      <c r="M2186" s="52">
        <f>(IF(F2186="SELL",IF(J2186="",0,I2186-J2186),IF(F2186="BUY",IF(J2186="",0,(J2186-I2186)))))*E2186</f>
        <v>4500</v>
      </c>
      <c r="N2186" s="2">
        <f t="shared" si="3051"/>
        <v>3</v>
      </c>
      <c r="O2186" s="2">
        <f t="shared" si="3067"/>
        <v>13500</v>
      </c>
      <c r="P2186" s="13"/>
      <c r="Q2186" s="13"/>
      <c r="R2186" s="13"/>
      <c r="S2186" s="13"/>
      <c r="T2186" s="13"/>
      <c r="U2186" s="13"/>
      <c r="V2186" s="13"/>
      <c r="W2186" s="13"/>
      <c r="X2186" s="13"/>
      <c r="Y2186" s="13"/>
      <c r="Z2186" s="13"/>
      <c r="AA2186" s="13"/>
      <c r="AB2186" s="13"/>
      <c r="AC2186" s="13"/>
      <c r="AD2186" s="13"/>
      <c r="AE2186" s="13"/>
      <c r="AF2186" s="13"/>
      <c r="AG2186" s="13"/>
    </row>
    <row r="2187" spans="1:33" s="14" customFormat="1" ht="15" customHeight="1">
      <c r="A2187" s="10">
        <v>43052</v>
      </c>
      <c r="B2187" s="3" t="s">
        <v>233</v>
      </c>
      <c r="C2187" s="15" t="s">
        <v>47</v>
      </c>
      <c r="D2187" s="15">
        <v>430</v>
      </c>
      <c r="E2187" s="11">
        <v>1250</v>
      </c>
      <c r="F2187" s="3" t="s">
        <v>8</v>
      </c>
      <c r="G2187" s="46">
        <v>11.5</v>
      </c>
      <c r="H2187" s="3">
        <v>13</v>
      </c>
      <c r="I2187" s="46">
        <v>16</v>
      </c>
      <c r="J2187" s="55">
        <v>19</v>
      </c>
      <c r="K2187" s="1">
        <f t="shared" ref="K2187" si="3120">(IF(F2187="SELL",G2187-H2187,IF(F2187="BUY",H2187-G2187)))*E2187</f>
        <v>1875</v>
      </c>
      <c r="L2187" s="51">
        <f t="shared" ref="L2187" si="3121">(IF(F2187="SELL",IF(I2187="",0,H2187-I2187),IF(F2187="BUY",IF(I2187="",0,I2187-H2187))))*E2187</f>
        <v>3750</v>
      </c>
      <c r="M2187" s="52">
        <f>(IF(F2187="SELL",IF(J2187="",0,I2187-J2187),IF(F2187="BUY",IF(J2187="",0,(J2187-I2187)))))*E2187</f>
        <v>3750</v>
      </c>
      <c r="N2187" s="2">
        <f t="shared" si="3051"/>
        <v>7.5</v>
      </c>
      <c r="O2187" s="2">
        <f t="shared" si="3067"/>
        <v>9375</v>
      </c>
      <c r="P2187" s="13"/>
      <c r="Q2187" s="13"/>
      <c r="R2187" s="13"/>
      <c r="S2187" s="13"/>
      <c r="T2187" s="13"/>
      <c r="U2187" s="13"/>
      <c r="V2187" s="13"/>
      <c r="W2187" s="13"/>
      <c r="X2187" s="13"/>
      <c r="Y2187" s="13"/>
      <c r="Z2187" s="13"/>
      <c r="AA2187" s="13"/>
      <c r="AB2187" s="13"/>
      <c r="AC2187" s="13"/>
      <c r="AD2187" s="13"/>
      <c r="AE2187" s="13"/>
      <c r="AF2187" s="13"/>
      <c r="AG2187" s="13"/>
    </row>
    <row r="2188" spans="1:33" s="14" customFormat="1" ht="15" customHeight="1">
      <c r="A2188" s="10">
        <v>43052</v>
      </c>
      <c r="B2188" s="3" t="s">
        <v>232</v>
      </c>
      <c r="C2188" s="15" t="s">
        <v>47</v>
      </c>
      <c r="D2188" s="15">
        <v>460</v>
      </c>
      <c r="E2188" s="11">
        <v>1300</v>
      </c>
      <c r="F2188" s="3" t="s">
        <v>8</v>
      </c>
      <c r="G2188" s="46">
        <v>16</v>
      </c>
      <c r="H2188" s="3">
        <v>17.5</v>
      </c>
      <c r="I2188" s="46">
        <v>0</v>
      </c>
      <c r="J2188" s="55">
        <v>0</v>
      </c>
      <c r="K2188" s="1">
        <f t="shared" ref="K2188" si="3122">(IF(F2188="SELL",G2188-H2188,IF(F2188="BUY",H2188-G2188)))*E2188</f>
        <v>1950</v>
      </c>
      <c r="L2188" s="51">
        <v>0</v>
      </c>
      <c r="M2188" s="52">
        <v>0</v>
      </c>
      <c r="N2188" s="2">
        <f t="shared" si="3051"/>
        <v>1.5</v>
      </c>
      <c r="O2188" s="2">
        <f t="shared" si="3067"/>
        <v>1950</v>
      </c>
      <c r="P2188" s="13"/>
      <c r="Q2188" s="13"/>
      <c r="R2188" s="13"/>
      <c r="S2188" s="13"/>
      <c r="T2188" s="13"/>
      <c r="U2188" s="13"/>
      <c r="V2188" s="13"/>
      <c r="W2188" s="13"/>
      <c r="X2188" s="13"/>
      <c r="Y2188" s="13"/>
      <c r="Z2188" s="13"/>
      <c r="AA2188" s="13"/>
      <c r="AB2188" s="13"/>
      <c r="AC2188" s="13"/>
      <c r="AD2188" s="13"/>
      <c r="AE2188" s="13"/>
      <c r="AF2188" s="13"/>
      <c r="AG2188" s="13"/>
    </row>
    <row r="2189" spans="1:33" s="14" customFormat="1" ht="15" customHeight="1">
      <c r="A2189" s="10">
        <v>43052</v>
      </c>
      <c r="B2189" s="3" t="s">
        <v>229</v>
      </c>
      <c r="C2189" s="15" t="s">
        <v>47</v>
      </c>
      <c r="D2189" s="15">
        <v>740</v>
      </c>
      <c r="E2189" s="11">
        <v>1500</v>
      </c>
      <c r="F2189" s="3" t="s">
        <v>8</v>
      </c>
      <c r="G2189" s="46">
        <v>20</v>
      </c>
      <c r="H2189" s="3">
        <v>21.55</v>
      </c>
      <c r="I2189" s="46">
        <v>0</v>
      </c>
      <c r="J2189" s="55">
        <v>0</v>
      </c>
      <c r="K2189" s="1">
        <f t="shared" ref="K2189" si="3123">(IF(F2189="SELL",G2189-H2189,IF(F2189="BUY",H2189-G2189)))*E2189</f>
        <v>2325.0000000000009</v>
      </c>
      <c r="L2189" s="51">
        <v>0</v>
      </c>
      <c r="M2189" s="52">
        <v>0</v>
      </c>
      <c r="N2189" s="2">
        <f t="shared" si="3051"/>
        <v>1.5500000000000007</v>
      </c>
      <c r="O2189" s="2">
        <f t="shared" si="3067"/>
        <v>2325.0000000000009</v>
      </c>
      <c r="P2189" s="13"/>
      <c r="Q2189" s="13"/>
      <c r="R2189" s="13"/>
      <c r="S2189" s="13"/>
      <c r="T2189" s="13"/>
      <c r="U2189" s="13"/>
      <c r="V2189" s="13"/>
      <c r="W2189" s="13"/>
      <c r="X2189" s="13"/>
      <c r="Y2189" s="13"/>
      <c r="Z2189" s="13"/>
      <c r="AA2189" s="13"/>
      <c r="AB2189" s="13"/>
      <c r="AC2189" s="13"/>
      <c r="AD2189" s="13"/>
      <c r="AE2189" s="13"/>
      <c r="AF2189" s="13"/>
      <c r="AG2189" s="13"/>
    </row>
    <row r="2190" spans="1:33" s="14" customFormat="1" ht="15" customHeight="1">
      <c r="A2190" s="10">
        <v>43049</v>
      </c>
      <c r="B2190" s="3" t="s">
        <v>156</v>
      </c>
      <c r="C2190" s="15" t="s">
        <v>47</v>
      </c>
      <c r="D2190" s="15">
        <v>530</v>
      </c>
      <c r="E2190" s="11">
        <v>2000</v>
      </c>
      <c r="F2190" s="3" t="s">
        <v>8</v>
      </c>
      <c r="G2190" s="46">
        <v>18</v>
      </c>
      <c r="H2190" s="3">
        <v>15</v>
      </c>
      <c r="I2190" s="46">
        <v>0</v>
      </c>
      <c r="J2190" s="55">
        <v>0</v>
      </c>
      <c r="K2190" s="1">
        <f t="shared" ref="K2190" si="3124">(IF(F2190="SELL",G2190-H2190,IF(F2190="BUY",H2190-G2190)))*E2190</f>
        <v>-6000</v>
      </c>
      <c r="L2190" s="51">
        <v>0</v>
      </c>
      <c r="M2190" s="52">
        <v>0</v>
      </c>
      <c r="N2190" s="2">
        <f t="shared" si="3051"/>
        <v>-3</v>
      </c>
      <c r="O2190" s="2">
        <f t="shared" si="3067"/>
        <v>-6000</v>
      </c>
      <c r="P2190" s="13"/>
      <c r="Q2190" s="13"/>
      <c r="R2190" s="13"/>
      <c r="S2190" s="13"/>
      <c r="T2190" s="13"/>
      <c r="U2190" s="13"/>
      <c r="V2190" s="13"/>
      <c r="W2190" s="13"/>
      <c r="X2190" s="13"/>
      <c r="Y2190" s="13"/>
      <c r="Z2190" s="13"/>
      <c r="AA2190" s="13"/>
      <c r="AB2190" s="13"/>
      <c r="AC2190" s="13"/>
      <c r="AD2190" s="13"/>
      <c r="AE2190" s="13"/>
      <c r="AF2190" s="13"/>
      <c r="AG2190" s="13"/>
    </row>
    <row r="2191" spans="1:33" s="14" customFormat="1" ht="15" customHeight="1">
      <c r="A2191" s="10">
        <v>43049</v>
      </c>
      <c r="B2191" s="3" t="s">
        <v>231</v>
      </c>
      <c r="C2191" s="15" t="s">
        <v>47</v>
      </c>
      <c r="D2191" s="15">
        <v>520</v>
      </c>
      <c r="E2191" s="11">
        <v>1200</v>
      </c>
      <c r="F2191" s="3" t="s">
        <v>8</v>
      </c>
      <c r="G2191" s="46">
        <v>16</v>
      </c>
      <c r="H2191" s="3">
        <v>21</v>
      </c>
      <c r="I2191" s="46">
        <v>0</v>
      </c>
      <c r="J2191" s="55">
        <v>0</v>
      </c>
      <c r="K2191" s="1">
        <f t="shared" ref="K2191" si="3125">(IF(F2191="SELL",G2191-H2191,IF(F2191="BUY",H2191-G2191)))*E2191</f>
        <v>6000</v>
      </c>
      <c r="L2191" s="51">
        <v>0</v>
      </c>
      <c r="M2191" s="52">
        <v>0</v>
      </c>
      <c r="N2191" s="2">
        <f t="shared" si="3051"/>
        <v>5</v>
      </c>
      <c r="O2191" s="2">
        <f t="shared" si="3067"/>
        <v>6000</v>
      </c>
      <c r="P2191" s="13"/>
      <c r="Q2191" s="13"/>
      <c r="R2191" s="13"/>
      <c r="S2191" s="13"/>
      <c r="T2191" s="13"/>
      <c r="U2191" s="13"/>
      <c r="V2191" s="13"/>
      <c r="W2191" s="13"/>
      <c r="X2191" s="13"/>
      <c r="Y2191" s="13"/>
      <c r="Z2191" s="13"/>
      <c r="AA2191" s="13"/>
      <c r="AB2191" s="13"/>
      <c r="AC2191" s="13"/>
      <c r="AD2191" s="13"/>
      <c r="AE2191" s="13"/>
      <c r="AF2191" s="13"/>
      <c r="AG2191" s="13"/>
    </row>
    <row r="2192" spans="1:33" s="14" customFormat="1" ht="15" customHeight="1">
      <c r="A2192" s="10">
        <v>43048</v>
      </c>
      <c r="B2192" s="3" t="s">
        <v>230</v>
      </c>
      <c r="C2192" s="15" t="s">
        <v>47</v>
      </c>
      <c r="D2192" s="15">
        <v>180</v>
      </c>
      <c r="E2192" s="11">
        <v>3000</v>
      </c>
      <c r="F2192" s="3" t="s">
        <v>8</v>
      </c>
      <c r="G2192" s="46">
        <v>6.25</v>
      </c>
      <c r="H2192" s="3">
        <v>0</v>
      </c>
      <c r="I2192" s="46">
        <v>0</v>
      </c>
      <c r="J2192" s="55">
        <v>0</v>
      </c>
      <c r="K2192" s="1">
        <v>0</v>
      </c>
      <c r="L2192" s="51">
        <v>0</v>
      </c>
      <c r="M2192" s="52">
        <v>0</v>
      </c>
      <c r="N2192" s="2">
        <f t="shared" si="3051"/>
        <v>0</v>
      </c>
      <c r="O2192" s="2">
        <f t="shared" si="3067"/>
        <v>0</v>
      </c>
      <c r="P2192" s="13"/>
      <c r="Q2192" s="13"/>
      <c r="R2192" s="13"/>
      <c r="S2192" s="13"/>
      <c r="T2192" s="13"/>
      <c r="U2192" s="13"/>
      <c r="V2192" s="13"/>
      <c r="W2192" s="13"/>
      <c r="X2192" s="13"/>
      <c r="Y2192" s="13"/>
      <c r="Z2192" s="13"/>
      <c r="AA2192" s="13"/>
      <c r="AB2192" s="13"/>
      <c r="AC2192" s="13"/>
      <c r="AD2192" s="13"/>
      <c r="AE2192" s="13"/>
      <c r="AF2192" s="13"/>
      <c r="AG2192" s="13"/>
    </row>
    <row r="2193" spans="1:33" s="14" customFormat="1" ht="15" customHeight="1">
      <c r="A2193" s="10">
        <v>43048</v>
      </c>
      <c r="B2193" s="3" t="s">
        <v>213</v>
      </c>
      <c r="C2193" s="15" t="s">
        <v>47</v>
      </c>
      <c r="D2193" s="15">
        <v>440</v>
      </c>
      <c r="E2193" s="11">
        <v>2000</v>
      </c>
      <c r="F2193" s="3" t="s">
        <v>8</v>
      </c>
      <c r="G2193" s="46">
        <v>10.7</v>
      </c>
      <c r="H2193" s="3">
        <v>12</v>
      </c>
      <c r="I2193" s="46">
        <v>15</v>
      </c>
      <c r="J2193" s="55">
        <v>17</v>
      </c>
      <c r="K2193" s="1">
        <f t="shared" ref="K2193" si="3126">(IF(F2193="SELL",G2193-H2193,IF(F2193="BUY",H2193-G2193)))*E2193</f>
        <v>2600.0000000000014</v>
      </c>
      <c r="L2193" s="51">
        <f t="shared" ref="L2193:L2194" si="3127">(IF(F2193="SELL",IF(I2193="",0,H2193-I2193),IF(F2193="BUY",IF(I2193="",0,I2193-H2193))))*E2193</f>
        <v>6000</v>
      </c>
      <c r="M2193" s="52">
        <f>(IF(F2193="SELL",IF(J2193="",0,I2193-J2193),IF(F2193="BUY",IF(J2193="",0,(J2193-I2193)))))*E2193</f>
        <v>4000</v>
      </c>
      <c r="N2193" s="2">
        <f t="shared" si="3051"/>
        <v>6.3000000000000007</v>
      </c>
      <c r="O2193" s="2">
        <f t="shared" si="3067"/>
        <v>12600.000000000002</v>
      </c>
      <c r="P2193" s="13"/>
      <c r="Q2193" s="13"/>
      <c r="R2193" s="13"/>
      <c r="S2193" s="13"/>
      <c r="T2193" s="13"/>
      <c r="U2193" s="13"/>
      <c r="V2193" s="13"/>
      <c r="W2193" s="13"/>
      <c r="X2193" s="13"/>
      <c r="Y2193" s="13"/>
      <c r="Z2193" s="13"/>
      <c r="AA2193" s="13"/>
      <c r="AB2193" s="13"/>
      <c r="AC2193" s="13"/>
      <c r="AD2193" s="13"/>
      <c r="AE2193" s="13"/>
      <c r="AF2193" s="13"/>
      <c r="AG2193" s="13"/>
    </row>
    <row r="2194" spans="1:33" s="14" customFormat="1" ht="15" customHeight="1">
      <c r="A2194" s="10">
        <v>43048</v>
      </c>
      <c r="B2194" s="3" t="s">
        <v>161</v>
      </c>
      <c r="C2194" s="15" t="s">
        <v>47</v>
      </c>
      <c r="D2194" s="15">
        <v>450</v>
      </c>
      <c r="E2194" s="11">
        <v>1500</v>
      </c>
      <c r="F2194" s="3" t="s">
        <v>8</v>
      </c>
      <c r="G2194" s="46">
        <v>11.5</v>
      </c>
      <c r="H2194" s="3">
        <v>12.5</v>
      </c>
      <c r="I2194" s="46">
        <v>14</v>
      </c>
      <c r="J2194" s="55">
        <v>16</v>
      </c>
      <c r="K2194" s="1">
        <f t="shared" ref="K2194" si="3128">(IF(F2194="SELL",G2194-H2194,IF(F2194="BUY",H2194-G2194)))*E2194</f>
        <v>1500</v>
      </c>
      <c r="L2194" s="51">
        <f t="shared" si="3127"/>
        <v>2250</v>
      </c>
      <c r="M2194" s="52">
        <f>(IF(F2194="SELL",IF(J2194="",0,I2194-J2194),IF(F2194="BUY",IF(J2194="",0,(J2194-I2194)))))*E2194</f>
        <v>3000</v>
      </c>
      <c r="N2194" s="2">
        <f t="shared" si="3051"/>
        <v>4.5</v>
      </c>
      <c r="O2194" s="2">
        <f t="shared" si="3067"/>
        <v>6750</v>
      </c>
      <c r="P2194" s="13"/>
      <c r="Q2194" s="13"/>
      <c r="R2194" s="13"/>
      <c r="S2194" s="13"/>
      <c r="T2194" s="13"/>
      <c r="U2194" s="13"/>
      <c r="V2194" s="13"/>
      <c r="W2194" s="13"/>
      <c r="X2194" s="13"/>
      <c r="Y2194" s="13"/>
      <c r="Z2194" s="13"/>
      <c r="AA2194" s="13"/>
      <c r="AB2194" s="13"/>
      <c r="AC2194" s="13"/>
      <c r="AD2194" s="13"/>
      <c r="AE2194" s="13"/>
      <c r="AF2194" s="13"/>
      <c r="AG2194" s="13"/>
    </row>
    <row r="2195" spans="1:33" s="14" customFormat="1" ht="15" customHeight="1">
      <c r="A2195" s="10">
        <v>43048</v>
      </c>
      <c r="B2195" s="3" t="s">
        <v>229</v>
      </c>
      <c r="C2195" s="15" t="s">
        <v>47</v>
      </c>
      <c r="D2195" s="15">
        <v>730</v>
      </c>
      <c r="E2195" s="11">
        <v>1500</v>
      </c>
      <c r="F2195" s="3" t="s">
        <v>8</v>
      </c>
      <c r="G2195" s="46">
        <v>23</v>
      </c>
      <c r="H2195" s="3">
        <v>25</v>
      </c>
      <c r="I2195" s="46">
        <v>0</v>
      </c>
      <c r="J2195" s="55">
        <v>0</v>
      </c>
      <c r="K2195" s="1">
        <f t="shared" ref="K2195" si="3129">(IF(F2195="SELL",G2195-H2195,IF(F2195="BUY",H2195-G2195)))*E2195</f>
        <v>3000</v>
      </c>
      <c r="L2195" s="51">
        <v>0</v>
      </c>
      <c r="M2195" s="52">
        <v>0</v>
      </c>
      <c r="N2195" s="2">
        <f t="shared" si="3051"/>
        <v>2</v>
      </c>
      <c r="O2195" s="2">
        <f t="shared" si="3067"/>
        <v>3000</v>
      </c>
      <c r="P2195" s="13"/>
      <c r="Q2195" s="13"/>
      <c r="R2195" s="13"/>
      <c r="S2195" s="13"/>
      <c r="T2195" s="13"/>
      <c r="U2195" s="13"/>
      <c r="V2195" s="13"/>
      <c r="W2195" s="13"/>
      <c r="X2195" s="13"/>
      <c r="Y2195" s="13"/>
      <c r="Z2195" s="13"/>
      <c r="AA2195" s="13"/>
      <c r="AB2195" s="13"/>
      <c r="AC2195" s="13"/>
      <c r="AD2195" s="13"/>
      <c r="AE2195" s="13"/>
      <c r="AF2195" s="13"/>
      <c r="AG2195" s="13"/>
    </row>
    <row r="2196" spans="1:33" s="14" customFormat="1" ht="15" customHeight="1">
      <c r="A2196" s="10">
        <v>43047</v>
      </c>
      <c r="B2196" s="3" t="s">
        <v>228</v>
      </c>
      <c r="C2196" s="15" t="s">
        <v>47</v>
      </c>
      <c r="D2196" s="15">
        <v>520</v>
      </c>
      <c r="E2196" s="11">
        <v>2000</v>
      </c>
      <c r="F2196" s="3" t="s">
        <v>8</v>
      </c>
      <c r="G2196" s="46">
        <v>16.5</v>
      </c>
      <c r="H2196" s="3">
        <v>17.5</v>
      </c>
      <c r="I2196" s="46">
        <v>0</v>
      </c>
      <c r="J2196" s="55">
        <v>0</v>
      </c>
      <c r="K2196" s="1">
        <f t="shared" ref="K2196" si="3130">(IF(F2196="SELL",G2196-H2196,IF(F2196="BUY",H2196-G2196)))*E2196</f>
        <v>2000</v>
      </c>
      <c r="L2196" s="51">
        <v>0</v>
      </c>
      <c r="M2196" s="52">
        <v>0</v>
      </c>
      <c r="N2196" s="2">
        <f t="shared" si="3051"/>
        <v>1</v>
      </c>
      <c r="O2196" s="2">
        <f t="shared" si="3067"/>
        <v>2000</v>
      </c>
      <c r="P2196" s="13"/>
      <c r="Q2196" s="13"/>
      <c r="R2196" s="13"/>
      <c r="S2196" s="13"/>
      <c r="T2196" s="13"/>
      <c r="U2196" s="13"/>
      <c r="V2196" s="13"/>
      <c r="W2196" s="13"/>
      <c r="X2196" s="13"/>
      <c r="Y2196" s="13"/>
      <c r="Z2196" s="13"/>
      <c r="AA2196" s="13"/>
      <c r="AB2196" s="13"/>
      <c r="AC2196" s="13"/>
      <c r="AD2196" s="13"/>
      <c r="AE2196" s="13"/>
      <c r="AF2196" s="13"/>
      <c r="AG2196" s="13"/>
    </row>
    <row r="2197" spans="1:33" s="14" customFormat="1" ht="15" customHeight="1">
      <c r="A2197" s="10">
        <v>43047</v>
      </c>
      <c r="B2197" s="3" t="s">
        <v>161</v>
      </c>
      <c r="C2197" s="15" t="s">
        <v>47</v>
      </c>
      <c r="D2197" s="15">
        <v>470</v>
      </c>
      <c r="E2197" s="11">
        <v>1500</v>
      </c>
      <c r="F2197" s="3" t="s">
        <v>8</v>
      </c>
      <c r="G2197" s="46">
        <v>16.5</v>
      </c>
      <c r="H2197" s="3">
        <v>17.45</v>
      </c>
      <c r="I2197" s="46">
        <v>0</v>
      </c>
      <c r="J2197" s="55">
        <v>0</v>
      </c>
      <c r="K2197" s="1">
        <f t="shared" ref="K2197" si="3131">(IF(F2197="SELL",G2197-H2197,IF(F2197="BUY",H2197-G2197)))*E2197</f>
        <v>1424.9999999999989</v>
      </c>
      <c r="L2197" s="51">
        <v>0</v>
      </c>
      <c r="M2197" s="52">
        <v>0</v>
      </c>
      <c r="N2197" s="2">
        <f t="shared" ref="N2197:N2250" si="3132">(L2197+K2197+M2197)/E2197</f>
        <v>0.94999999999999929</v>
      </c>
      <c r="O2197" s="2">
        <f t="shared" si="3067"/>
        <v>1424.9999999999989</v>
      </c>
      <c r="P2197" s="13"/>
      <c r="Q2197" s="13"/>
      <c r="R2197" s="13"/>
      <c r="S2197" s="13"/>
      <c r="T2197" s="13"/>
      <c r="U2197" s="13"/>
      <c r="V2197" s="13"/>
      <c r="W2197" s="13"/>
      <c r="X2197" s="13"/>
      <c r="Y2197" s="13"/>
      <c r="Z2197" s="13"/>
      <c r="AA2197" s="13"/>
      <c r="AB2197" s="13"/>
      <c r="AC2197" s="13"/>
      <c r="AD2197" s="13"/>
      <c r="AE2197" s="13"/>
      <c r="AF2197" s="13"/>
      <c r="AG2197" s="13"/>
    </row>
    <row r="2198" spans="1:33" s="14" customFormat="1" ht="15" customHeight="1">
      <c r="A2198" s="10">
        <v>43047</v>
      </c>
      <c r="B2198" s="3" t="s">
        <v>192</v>
      </c>
      <c r="C2198" s="15" t="s">
        <v>47</v>
      </c>
      <c r="D2198" s="15">
        <v>1000</v>
      </c>
      <c r="E2198" s="11">
        <v>550</v>
      </c>
      <c r="F2198" s="3" t="s">
        <v>8</v>
      </c>
      <c r="G2198" s="46">
        <v>29</v>
      </c>
      <c r="H2198" s="3">
        <v>32</v>
      </c>
      <c r="I2198" s="46">
        <v>0</v>
      </c>
      <c r="J2198" s="55">
        <v>0</v>
      </c>
      <c r="K2198" s="1">
        <f t="shared" ref="K2198" si="3133">(IF(F2198="SELL",G2198-H2198,IF(F2198="BUY",H2198-G2198)))*E2198</f>
        <v>1650</v>
      </c>
      <c r="L2198" s="51">
        <v>0</v>
      </c>
      <c r="M2198" s="52">
        <v>0</v>
      </c>
      <c r="N2198" s="2">
        <f t="shared" si="3132"/>
        <v>3</v>
      </c>
      <c r="O2198" s="2">
        <f t="shared" si="3067"/>
        <v>1650</v>
      </c>
      <c r="P2198" s="13"/>
      <c r="Q2198" s="13"/>
      <c r="R2198" s="13"/>
      <c r="S2198" s="13"/>
      <c r="T2198" s="13"/>
      <c r="U2198" s="13"/>
      <c r="V2198" s="13"/>
      <c r="W2198" s="13"/>
      <c r="X2198" s="13"/>
      <c r="Y2198" s="13"/>
      <c r="Z2198" s="13"/>
      <c r="AA2198" s="13"/>
      <c r="AB2198" s="13"/>
      <c r="AC2198" s="13"/>
      <c r="AD2198" s="13"/>
      <c r="AE2198" s="13"/>
      <c r="AF2198" s="13"/>
      <c r="AG2198" s="13"/>
    </row>
    <row r="2199" spans="1:33" s="14" customFormat="1" ht="15" customHeight="1">
      <c r="A2199" s="10">
        <v>43047</v>
      </c>
      <c r="B2199" s="3" t="s">
        <v>224</v>
      </c>
      <c r="C2199" s="15" t="s">
        <v>47</v>
      </c>
      <c r="D2199" s="15">
        <v>290</v>
      </c>
      <c r="E2199" s="11">
        <v>3000</v>
      </c>
      <c r="F2199" s="3" t="s">
        <v>8</v>
      </c>
      <c r="G2199" s="46">
        <v>10.9</v>
      </c>
      <c r="H2199" s="3">
        <v>9</v>
      </c>
      <c r="I2199" s="46">
        <v>0</v>
      </c>
      <c r="J2199" s="55">
        <v>0</v>
      </c>
      <c r="K2199" s="1">
        <f t="shared" ref="K2199" si="3134">(IF(F2199="SELL",G2199-H2199,IF(F2199="BUY",H2199-G2199)))*E2199</f>
        <v>-5700.0000000000009</v>
      </c>
      <c r="L2199" s="51">
        <v>0</v>
      </c>
      <c r="M2199" s="52">
        <v>0</v>
      </c>
      <c r="N2199" s="2">
        <f t="shared" si="3132"/>
        <v>-1.9000000000000004</v>
      </c>
      <c r="O2199" s="2">
        <f t="shared" si="3067"/>
        <v>-5700.0000000000009</v>
      </c>
      <c r="P2199" s="13"/>
      <c r="Q2199" s="13"/>
      <c r="R2199" s="13"/>
      <c r="S2199" s="13"/>
      <c r="T2199" s="13"/>
      <c r="U2199" s="13"/>
      <c r="V2199" s="13"/>
      <c r="W2199" s="13"/>
      <c r="X2199" s="13"/>
      <c r="Y2199" s="13"/>
      <c r="Z2199" s="13"/>
      <c r="AA2199" s="13"/>
      <c r="AB2199" s="13"/>
      <c r="AC2199" s="13"/>
      <c r="AD2199" s="13"/>
      <c r="AE2199" s="13"/>
      <c r="AF2199" s="13"/>
      <c r="AG2199" s="13"/>
    </row>
    <row r="2200" spans="1:33" s="14" customFormat="1" ht="15" customHeight="1">
      <c r="A2200" s="10">
        <v>43046</v>
      </c>
      <c r="B2200" s="3" t="s">
        <v>196</v>
      </c>
      <c r="C2200" s="15" t="s">
        <v>47</v>
      </c>
      <c r="D2200" s="15">
        <v>480</v>
      </c>
      <c r="E2200" s="11">
        <v>1100</v>
      </c>
      <c r="F2200" s="3" t="s">
        <v>8</v>
      </c>
      <c r="G2200" s="46">
        <v>10.3</v>
      </c>
      <c r="H2200" s="3">
        <v>12</v>
      </c>
      <c r="I2200" s="46">
        <v>13.9</v>
      </c>
      <c r="J2200" s="55">
        <v>0</v>
      </c>
      <c r="K2200" s="1">
        <f t="shared" ref="K2200" si="3135">(IF(F2200="SELL",G2200-H2200,IF(F2200="BUY",H2200-G2200)))*E2200</f>
        <v>1869.9999999999993</v>
      </c>
      <c r="L2200" s="51">
        <f t="shared" ref="L2200" si="3136">(IF(F2200="SELL",IF(I2200="",0,H2200-I2200),IF(F2200="BUY",IF(I2200="",0,I2200-H2200))))*E2200</f>
        <v>2090.0000000000005</v>
      </c>
      <c r="M2200" s="52">
        <v>0</v>
      </c>
      <c r="N2200" s="2">
        <f t="shared" si="3132"/>
        <v>3.6</v>
      </c>
      <c r="O2200" s="2">
        <f t="shared" si="3067"/>
        <v>3960</v>
      </c>
      <c r="P2200" s="13"/>
      <c r="Q2200" s="13"/>
      <c r="R2200" s="13"/>
      <c r="S2200" s="13"/>
      <c r="T2200" s="13"/>
      <c r="U2200" s="13"/>
      <c r="V2200" s="13"/>
      <c r="W2200" s="13"/>
      <c r="X2200" s="13"/>
      <c r="Y2200" s="13"/>
      <c r="Z2200" s="13"/>
      <c r="AA2200" s="13"/>
      <c r="AB2200" s="13"/>
      <c r="AC2200" s="13"/>
      <c r="AD2200" s="13"/>
      <c r="AE2200" s="13"/>
      <c r="AF2200" s="13"/>
      <c r="AG2200" s="13"/>
    </row>
    <row r="2201" spans="1:33" s="14" customFormat="1" ht="15" customHeight="1">
      <c r="A2201" s="10">
        <v>43046</v>
      </c>
      <c r="B2201" s="3" t="s">
        <v>167</v>
      </c>
      <c r="C2201" s="15" t="s">
        <v>47</v>
      </c>
      <c r="D2201" s="15">
        <v>1000</v>
      </c>
      <c r="E2201" s="11">
        <v>1000</v>
      </c>
      <c r="F2201" s="3" t="s">
        <v>8</v>
      </c>
      <c r="G2201" s="46">
        <v>25</v>
      </c>
      <c r="H2201" s="3">
        <v>27</v>
      </c>
      <c r="I2201" s="46">
        <v>0</v>
      </c>
      <c r="J2201" s="55">
        <v>0</v>
      </c>
      <c r="K2201" s="1">
        <f t="shared" ref="K2201" si="3137">(IF(F2201="SELL",G2201-H2201,IF(F2201="BUY",H2201-G2201)))*E2201</f>
        <v>2000</v>
      </c>
      <c r="L2201" s="51">
        <v>0</v>
      </c>
      <c r="M2201" s="52">
        <v>0</v>
      </c>
      <c r="N2201" s="2">
        <f t="shared" si="3132"/>
        <v>2</v>
      </c>
      <c r="O2201" s="2">
        <f t="shared" si="3067"/>
        <v>2000</v>
      </c>
      <c r="P2201" s="13"/>
      <c r="Q2201" s="13"/>
      <c r="R2201" s="13"/>
      <c r="S2201" s="13"/>
      <c r="T2201" s="13"/>
      <c r="U2201" s="13"/>
      <c r="V2201" s="13"/>
      <c r="W2201" s="13"/>
      <c r="X2201" s="13"/>
      <c r="Y2201" s="13"/>
      <c r="Z2201" s="13"/>
      <c r="AA2201" s="13"/>
      <c r="AB2201" s="13"/>
      <c r="AC2201" s="13"/>
      <c r="AD2201" s="13"/>
      <c r="AE2201" s="13"/>
      <c r="AF2201" s="13"/>
      <c r="AG2201" s="13"/>
    </row>
    <row r="2202" spans="1:33" s="14" customFormat="1" ht="15" customHeight="1">
      <c r="A2202" s="10">
        <v>43046</v>
      </c>
      <c r="B2202" s="3" t="s">
        <v>156</v>
      </c>
      <c r="C2202" s="15" t="s">
        <v>47</v>
      </c>
      <c r="D2202" s="15">
        <v>520</v>
      </c>
      <c r="E2202" s="11">
        <v>2000</v>
      </c>
      <c r="F2202" s="3" t="s">
        <v>8</v>
      </c>
      <c r="G2202" s="46">
        <v>13</v>
      </c>
      <c r="H2202" s="3">
        <v>14</v>
      </c>
      <c r="I2202" s="46">
        <v>15.4</v>
      </c>
      <c r="J2202" s="55">
        <v>0</v>
      </c>
      <c r="K2202" s="1">
        <f t="shared" ref="K2202" si="3138">(IF(F2202="SELL",G2202-H2202,IF(F2202="BUY",H2202-G2202)))*E2202</f>
        <v>2000</v>
      </c>
      <c r="L2202" s="51">
        <f t="shared" ref="L2202" si="3139">(IF(F2202="SELL",IF(I2202="",0,H2202-I2202),IF(F2202="BUY",IF(I2202="",0,I2202-H2202))))*E2202</f>
        <v>2800.0000000000009</v>
      </c>
      <c r="M2202" s="52">
        <v>0</v>
      </c>
      <c r="N2202" s="2">
        <f t="shared" si="3132"/>
        <v>2.4000000000000004</v>
      </c>
      <c r="O2202" s="2">
        <f t="shared" si="3067"/>
        <v>4800.0000000000009</v>
      </c>
      <c r="P2202" s="13"/>
      <c r="Q2202" s="13"/>
      <c r="R2202" s="13"/>
      <c r="S2202" s="13"/>
      <c r="T2202" s="13"/>
      <c r="U2202" s="13"/>
      <c r="V2202" s="13"/>
      <c r="W2202" s="13"/>
      <c r="X2202" s="13"/>
      <c r="Y2202" s="13"/>
      <c r="Z2202" s="13"/>
      <c r="AA2202" s="13"/>
      <c r="AB2202" s="13"/>
      <c r="AC2202" s="13"/>
      <c r="AD2202" s="13"/>
      <c r="AE2202" s="13"/>
      <c r="AF2202" s="13"/>
      <c r="AG2202" s="13"/>
    </row>
    <row r="2203" spans="1:33" s="14" customFormat="1" ht="15" customHeight="1">
      <c r="A2203" s="10">
        <v>43046</v>
      </c>
      <c r="B2203" s="3" t="s">
        <v>227</v>
      </c>
      <c r="C2203" s="15" t="s">
        <v>47</v>
      </c>
      <c r="D2203" s="15">
        <v>390</v>
      </c>
      <c r="E2203" s="11">
        <v>3750</v>
      </c>
      <c r="F2203" s="3" t="s">
        <v>8</v>
      </c>
      <c r="G2203" s="46">
        <v>7.5</v>
      </c>
      <c r="H2203" s="3">
        <v>8</v>
      </c>
      <c r="I2203" s="46">
        <v>0</v>
      </c>
      <c r="J2203" s="55">
        <v>0</v>
      </c>
      <c r="K2203" s="1">
        <f t="shared" ref="K2203" si="3140">(IF(F2203="SELL",G2203-H2203,IF(F2203="BUY",H2203-G2203)))*E2203</f>
        <v>1875</v>
      </c>
      <c r="L2203" s="51">
        <v>0</v>
      </c>
      <c r="M2203" s="52">
        <v>0</v>
      </c>
      <c r="N2203" s="2">
        <f t="shared" si="3132"/>
        <v>0.5</v>
      </c>
      <c r="O2203" s="2">
        <f t="shared" si="3067"/>
        <v>1875</v>
      </c>
      <c r="P2203" s="13"/>
      <c r="Q2203" s="13"/>
      <c r="R2203" s="13"/>
      <c r="S2203" s="13"/>
      <c r="T2203" s="13"/>
      <c r="U2203" s="13"/>
      <c r="V2203" s="13"/>
      <c r="W2203" s="13"/>
      <c r="X2203" s="13"/>
      <c r="Y2203" s="13"/>
      <c r="Z2203" s="13"/>
      <c r="AA2203" s="13"/>
      <c r="AB2203" s="13"/>
      <c r="AC2203" s="13"/>
      <c r="AD2203" s="13"/>
      <c r="AE2203" s="13"/>
      <c r="AF2203" s="13"/>
      <c r="AG2203" s="13"/>
    </row>
    <row r="2204" spans="1:33" s="14" customFormat="1" ht="15" customHeight="1">
      <c r="A2204" s="10">
        <v>43046</v>
      </c>
      <c r="B2204" s="3" t="s">
        <v>214</v>
      </c>
      <c r="C2204" s="15" t="s">
        <v>47</v>
      </c>
      <c r="D2204" s="15">
        <v>480</v>
      </c>
      <c r="E2204" s="11">
        <v>2000</v>
      </c>
      <c r="F2204" s="3" t="s">
        <v>8</v>
      </c>
      <c r="G2204" s="46">
        <v>13.5</v>
      </c>
      <c r="H2204" s="3">
        <v>15</v>
      </c>
      <c r="I2204" s="46">
        <v>0</v>
      </c>
      <c r="J2204" s="55">
        <v>0</v>
      </c>
      <c r="K2204" s="1">
        <f t="shared" ref="K2204" si="3141">(IF(F2204="SELL",G2204-H2204,IF(F2204="BUY",H2204-G2204)))*E2204</f>
        <v>3000</v>
      </c>
      <c r="L2204" s="51">
        <v>0</v>
      </c>
      <c r="M2204" s="52">
        <v>0</v>
      </c>
      <c r="N2204" s="2">
        <f t="shared" si="3132"/>
        <v>1.5</v>
      </c>
      <c r="O2204" s="2">
        <f t="shared" si="3067"/>
        <v>3000</v>
      </c>
      <c r="P2204" s="13"/>
      <c r="Q2204" s="13"/>
      <c r="R2204" s="13"/>
      <c r="S2204" s="13"/>
      <c r="T2204" s="13"/>
      <c r="U2204" s="13"/>
      <c r="V2204" s="13"/>
      <c r="W2204" s="13"/>
      <c r="X2204" s="13"/>
      <c r="Y2204" s="13"/>
      <c r="Z2204" s="13"/>
      <c r="AA2204" s="13"/>
      <c r="AB2204" s="13"/>
      <c r="AC2204" s="13"/>
      <c r="AD2204" s="13"/>
      <c r="AE2204" s="13"/>
      <c r="AF2204" s="13"/>
      <c r="AG2204" s="13"/>
    </row>
    <row r="2205" spans="1:33" s="14" customFormat="1" ht="15" customHeight="1">
      <c r="A2205" s="10">
        <v>43045</v>
      </c>
      <c r="B2205" s="3" t="s">
        <v>169</v>
      </c>
      <c r="C2205" s="15" t="s">
        <v>47</v>
      </c>
      <c r="D2205" s="15">
        <v>920</v>
      </c>
      <c r="E2205" s="11">
        <v>1000</v>
      </c>
      <c r="F2205" s="3" t="s">
        <v>8</v>
      </c>
      <c r="G2205" s="46">
        <v>31</v>
      </c>
      <c r="H2205" s="3">
        <v>33</v>
      </c>
      <c r="I2205" s="46">
        <v>35</v>
      </c>
      <c r="J2205" s="55">
        <v>39.1</v>
      </c>
      <c r="K2205" s="1">
        <f t="shared" ref="K2205" si="3142">(IF(F2205="SELL",G2205-H2205,IF(F2205="BUY",H2205-G2205)))*E2205</f>
        <v>2000</v>
      </c>
      <c r="L2205" s="51">
        <f t="shared" ref="L2205" si="3143">(IF(F2205="SELL",IF(I2205="",0,H2205-I2205),IF(F2205="BUY",IF(I2205="",0,I2205-H2205))))*E2205</f>
        <v>2000</v>
      </c>
      <c r="M2205" s="52">
        <f>(IF(F2205="SELL",IF(J2205="",0,I2205-J2205),IF(F2205="BUY",IF(J2205="",0,(J2205-I2205)))))*E2205</f>
        <v>4100.0000000000018</v>
      </c>
      <c r="N2205" s="2">
        <f t="shared" si="3132"/>
        <v>8.1000000000000014</v>
      </c>
      <c r="O2205" s="2">
        <f t="shared" si="3067"/>
        <v>8100.0000000000018</v>
      </c>
      <c r="P2205" s="13"/>
      <c r="Q2205" s="13"/>
      <c r="R2205" s="13"/>
      <c r="S2205" s="13"/>
      <c r="T2205" s="13"/>
      <c r="U2205" s="13"/>
      <c r="V2205" s="13"/>
      <c r="W2205" s="13"/>
      <c r="X2205" s="13"/>
      <c r="Y2205" s="13"/>
      <c r="Z2205" s="13"/>
      <c r="AA2205" s="13"/>
      <c r="AB2205" s="13"/>
      <c r="AC2205" s="13"/>
      <c r="AD2205" s="13"/>
      <c r="AE2205" s="13"/>
      <c r="AF2205" s="13"/>
      <c r="AG2205" s="13"/>
    </row>
    <row r="2206" spans="1:33" s="14" customFormat="1" ht="15" customHeight="1">
      <c r="A2206" s="10">
        <v>43042</v>
      </c>
      <c r="B2206" s="3" t="s">
        <v>169</v>
      </c>
      <c r="C2206" s="15" t="s">
        <v>47</v>
      </c>
      <c r="D2206" s="15">
        <v>880</v>
      </c>
      <c r="E2206" s="11">
        <v>1000</v>
      </c>
      <c r="F2206" s="3" t="s">
        <v>8</v>
      </c>
      <c r="G2206" s="46">
        <v>38</v>
      </c>
      <c r="H2206" s="3">
        <v>40</v>
      </c>
      <c r="I2206" s="46">
        <v>43</v>
      </c>
      <c r="J2206" s="55">
        <v>0</v>
      </c>
      <c r="K2206" s="1">
        <f t="shared" ref="K2206" si="3144">(IF(F2206="SELL",G2206-H2206,IF(F2206="BUY",H2206-G2206)))*E2206</f>
        <v>2000</v>
      </c>
      <c r="L2206" s="51">
        <f t="shared" ref="L2206" si="3145">(IF(F2206="SELL",IF(I2206="",0,H2206-I2206),IF(F2206="BUY",IF(I2206="",0,I2206-H2206))))*E2206</f>
        <v>3000</v>
      </c>
      <c r="M2206" s="52">
        <v>0</v>
      </c>
      <c r="N2206" s="2">
        <f t="shared" si="3132"/>
        <v>5</v>
      </c>
      <c r="O2206" s="2">
        <f t="shared" si="3067"/>
        <v>5000</v>
      </c>
      <c r="P2206" s="13"/>
      <c r="Q2206" s="13"/>
      <c r="R2206" s="13"/>
      <c r="S2206" s="13"/>
      <c r="T2206" s="13"/>
      <c r="U2206" s="13"/>
      <c r="V2206" s="13"/>
      <c r="W2206" s="13"/>
      <c r="X2206" s="13"/>
      <c r="Y2206" s="13"/>
      <c r="Z2206" s="13"/>
      <c r="AA2206" s="13"/>
      <c r="AB2206" s="13"/>
      <c r="AC2206" s="13"/>
      <c r="AD2206" s="13"/>
      <c r="AE2206" s="13"/>
      <c r="AF2206" s="13"/>
      <c r="AG2206" s="13"/>
    </row>
    <row r="2207" spans="1:33" s="14" customFormat="1" ht="15" customHeight="1">
      <c r="A2207" s="10">
        <v>43042</v>
      </c>
      <c r="B2207" s="3" t="s">
        <v>144</v>
      </c>
      <c r="C2207" s="15" t="s">
        <v>47</v>
      </c>
      <c r="D2207" s="15">
        <v>570</v>
      </c>
      <c r="E2207" s="11">
        <v>1700</v>
      </c>
      <c r="F2207" s="3" t="s">
        <v>8</v>
      </c>
      <c r="G2207" s="46">
        <v>17</v>
      </c>
      <c r="H2207" s="3">
        <v>20</v>
      </c>
      <c r="I2207" s="46">
        <v>0</v>
      </c>
      <c r="J2207" s="55">
        <v>0</v>
      </c>
      <c r="K2207" s="1">
        <f t="shared" ref="K2207" si="3146">(IF(F2207="SELL",G2207-H2207,IF(F2207="BUY",H2207-G2207)))*E2207</f>
        <v>5100</v>
      </c>
      <c r="L2207" s="51">
        <v>0</v>
      </c>
      <c r="M2207" s="52">
        <v>0</v>
      </c>
      <c r="N2207" s="2">
        <f t="shared" si="3132"/>
        <v>3</v>
      </c>
      <c r="O2207" s="2">
        <f t="shared" si="3067"/>
        <v>5100</v>
      </c>
      <c r="P2207" s="13"/>
      <c r="Q2207" s="13"/>
      <c r="R2207" s="13"/>
      <c r="S2207" s="13"/>
      <c r="T2207" s="13"/>
      <c r="U2207" s="13"/>
      <c r="V2207" s="13"/>
      <c r="W2207" s="13"/>
      <c r="X2207" s="13"/>
      <c r="Y2207" s="13"/>
      <c r="Z2207" s="13"/>
      <c r="AA2207" s="13"/>
      <c r="AB2207" s="13"/>
      <c r="AC2207" s="13"/>
      <c r="AD2207" s="13"/>
      <c r="AE2207" s="13"/>
      <c r="AF2207" s="13"/>
      <c r="AG2207" s="13"/>
    </row>
    <row r="2208" spans="1:33" s="14" customFormat="1" ht="15" customHeight="1">
      <c r="A2208" s="10">
        <v>43041</v>
      </c>
      <c r="B2208" s="3" t="s">
        <v>226</v>
      </c>
      <c r="C2208" s="15" t="s">
        <v>47</v>
      </c>
      <c r="D2208" s="15">
        <v>660</v>
      </c>
      <c r="E2208" s="11">
        <v>700</v>
      </c>
      <c r="F2208" s="3" t="s">
        <v>8</v>
      </c>
      <c r="G2208" s="46">
        <v>25</v>
      </c>
      <c r="H2208" s="3">
        <v>27</v>
      </c>
      <c r="I2208" s="46">
        <v>31</v>
      </c>
      <c r="J2208" s="55">
        <v>0</v>
      </c>
      <c r="K2208" s="1">
        <f t="shared" ref="K2208:K2209" si="3147">(IF(F2208="SELL",G2208-H2208,IF(F2208="BUY",H2208-G2208)))*E2208</f>
        <v>1400</v>
      </c>
      <c r="L2208" s="51">
        <f t="shared" ref="L2208:L2209" si="3148">(IF(F2208="SELL",IF(I2208="",0,H2208-I2208),IF(F2208="BUY",IF(I2208="",0,I2208-H2208))))*E2208</f>
        <v>2800</v>
      </c>
      <c r="M2208" s="52">
        <v>0</v>
      </c>
      <c r="N2208" s="2">
        <f t="shared" si="3132"/>
        <v>6</v>
      </c>
      <c r="O2208" s="2">
        <f t="shared" ref="O2208:O2271" si="3149">N2208*E2208</f>
        <v>4200</v>
      </c>
      <c r="P2208" s="13"/>
      <c r="Q2208" s="13"/>
      <c r="R2208" s="13"/>
      <c r="S2208" s="13"/>
      <c r="T2208" s="13"/>
      <c r="U2208" s="13"/>
      <c r="V2208" s="13"/>
      <c r="W2208" s="13"/>
      <c r="X2208" s="13"/>
      <c r="Y2208" s="13"/>
      <c r="Z2208" s="13"/>
      <c r="AA2208" s="13"/>
      <c r="AB2208" s="13"/>
      <c r="AC2208" s="13"/>
      <c r="AD2208" s="13"/>
      <c r="AE2208" s="13"/>
      <c r="AF2208" s="13"/>
      <c r="AG2208" s="13"/>
    </row>
    <row r="2209" spans="1:33" s="14" customFormat="1" ht="15" customHeight="1">
      <c r="A2209" s="10">
        <v>43041</v>
      </c>
      <c r="B2209" s="3" t="s">
        <v>225</v>
      </c>
      <c r="C2209" s="15" t="s">
        <v>47</v>
      </c>
      <c r="D2209" s="15">
        <v>800</v>
      </c>
      <c r="E2209" s="11">
        <v>800</v>
      </c>
      <c r="F2209" s="3" t="s">
        <v>8</v>
      </c>
      <c r="G2209" s="46">
        <v>25.5</v>
      </c>
      <c r="H2209" s="3">
        <v>27.5</v>
      </c>
      <c r="I2209" s="46">
        <v>32</v>
      </c>
      <c r="J2209" s="55">
        <v>36</v>
      </c>
      <c r="K2209" s="1">
        <f t="shared" si="3147"/>
        <v>1600</v>
      </c>
      <c r="L2209" s="51">
        <f t="shared" si="3148"/>
        <v>3600</v>
      </c>
      <c r="M2209" s="52">
        <f>(IF(F2209="SELL",IF(J2209="",0,I2209-J2209),IF(F2209="BUY",IF(J2209="",0,(J2209-I2209)))))*E2209</f>
        <v>3200</v>
      </c>
      <c r="N2209" s="2">
        <f t="shared" si="3132"/>
        <v>10.5</v>
      </c>
      <c r="O2209" s="2">
        <f t="shared" si="3149"/>
        <v>8400</v>
      </c>
      <c r="P2209" s="13"/>
      <c r="Q2209" s="13"/>
      <c r="R2209" s="13"/>
      <c r="S2209" s="13"/>
      <c r="T2209" s="13"/>
      <c r="U2209" s="13"/>
      <c r="V2209" s="13"/>
      <c r="W2209" s="13"/>
      <c r="X2209" s="13"/>
      <c r="Y2209" s="13"/>
      <c r="Z2209" s="13"/>
      <c r="AA2209" s="13"/>
      <c r="AB2209" s="13"/>
      <c r="AC2209" s="13"/>
      <c r="AD2209" s="13"/>
      <c r="AE2209" s="13"/>
      <c r="AF2209" s="13"/>
      <c r="AG2209" s="13"/>
    </row>
    <row r="2210" spans="1:33" s="14" customFormat="1" ht="15" customHeight="1">
      <c r="A2210" s="10">
        <v>43040</v>
      </c>
      <c r="B2210" s="3" t="s">
        <v>224</v>
      </c>
      <c r="C2210" s="15" t="s">
        <v>47</v>
      </c>
      <c r="D2210" s="15">
        <v>290</v>
      </c>
      <c r="E2210" s="11">
        <v>3000</v>
      </c>
      <c r="F2210" s="3" t="s">
        <v>8</v>
      </c>
      <c r="G2210" s="46">
        <v>10.9</v>
      </c>
      <c r="H2210" s="3">
        <v>9</v>
      </c>
      <c r="I2210" s="46">
        <v>0</v>
      </c>
      <c r="J2210" s="55">
        <v>0</v>
      </c>
      <c r="K2210" s="1">
        <f t="shared" ref="K2210:K2211" si="3150">(IF(F2210="SELL",G2210-H2210,IF(F2210="BUY",H2210-G2210)))*E2210</f>
        <v>-5700.0000000000009</v>
      </c>
      <c r="L2210" s="51">
        <v>0</v>
      </c>
      <c r="M2210" s="52">
        <v>0</v>
      </c>
      <c r="N2210" s="2">
        <f t="shared" si="3132"/>
        <v>-1.9000000000000004</v>
      </c>
      <c r="O2210" s="2">
        <f t="shared" si="3149"/>
        <v>-5700.0000000000009</v>
      </c>
      <c r="P2210" s="13"/>
      <c r="Q2210" s="13"/>
      <c r="R2210" s="13"/>
      <c r="S2210" s="13"/>
      <c r="T2210" s="13"/>
      <c r="U2210" s="13"/>
      <c r="V2210" s="13"/>
      <c r="W2210" s="13"/>
      <c r="X2210" s="13"/>
      <c r="Y2210" s="13"/>
      <c r="Z2210" s="13"/>
      <c r="AA2210" s="13"/>
      <c r="AB2210" s="13"/>
      <c r="AC2210" s="13"/>
      <c r="AD2210" s="13"/>
      <c r="AE2210" s="13"/>
      <c r="AF2210" s="13"/>
      <c r="AG2210" s="13"/>
    </row>
    <row r="2211" spans="1:33" s="14" customFormat="1" ht="15" customHeight="1">
      <c r="A2211" s="10">
        <v>43040</v>
      </c>
      <c r="B2211" s="3" t="s">
        <v>21</v>
      </c>
      <c r="C2211" s="15" t="s">
        <v>47</v>
      </c>
      <c r="D2211" s="15">
        <v>320</v>
      </c>
      <c r="E2211" s="11">
        <v>3000</v>
      </c>
      <c r="F2211" s="3" t="s">
        <v>8</v>
      </c>
      <c r="G2211" s="46">
        <v>10</v>
      </c>
      <c r="H2211" s="3">
        <v>10.5</v>
      </c>
      <c r="I2211" s="46">
        <v>11</v>
      </c>
      <c r="J2211" s="55">
        <v>0</v>
      </c>
      <c r="K2211" s="1">
        <f t="shared" si="3150"/>
        <v>1500</v>
      </c>
      <c r="L2211" s="51">
        <f t="shared" ref="L2211" si="3151">(IF(F2211="SELL",IF(I2211="",0,H2211-I2211),IF(F2211="BUY",IF(I2211="",0,I2211-H2211))))*E2211</f>
        <v>1500</v>
      </c>
      <c r="M2211" s="52">
        <v>0</v>
      </c>
      <c r="N2211" s="2">
        <f t="shared" si="3132"/>
        <v>1</v>
      </c>
      <c r="O2211" s="2">
        <f t="shared" si="3149"/>
        <v>3000</v>
      </c>
      <c r="P2211" s="13"/>
      <c r="Q2211" s="13"/>
      <c r="R2211" s="13"/>
      <c r="S2211" s="13"/>
      <c r="T2211" s="13"/>
      <c r="U2211" s="13"/>
      <c r="V2211" s="13"/>
      <c r="W2211" s="13"/>
      <c r="X2211" s="13"/>
      <c r="Y2211" s="13"/>
      <c r="Z2211" s="13"/>
      <c r="AA2211" s="13"/>
      <c r="AB2211" s="13"/>
      <c r="AC2211" s="13"/>
      <c r="AD2211" s="13"/>
      <c r="AE2211" s="13"/>
      <c r="AF2211" s="13"/>
      <c r="AG2211" s="13"/>
    </row>
    <row r="2212" spans="1:33" s="14" customFormat="1" ht="15" customHeight="1">
      <c r="A2212" s="10">
        <v>43040</v>
      </c>
      <c r="B2212" s="3" t="s">
        <v>208</v>
      </c>
      <c r="C2212" s="15" t="s">
        <v>47</v>
      </c>
      <c r="D2212" s="15">
        <v>940</v>
      </c>
      <c r="E2212" s="11">
        <v>800</v>
      </c>
      <c r="F2212" s="3" t="s">
        <v>8</v>
      </c>
      <c r="G2212" s="46">
        <v>25</v>
      </c>
      <c r="H2212" s="3">
        <v>30</v>
      </c>
      <c r="I2212" s="46">
        <v>35</v>
      </c>
      <c r="J2212" s="55">
        <v>0</v>
      </c>
      <c r="K2212" s="1">
        <f t="shared" ref="K2212" si="3152">(IF(F2212="SELL",G2212-H2212,IF(F2212="BUY",H2212-G2212)))*E2212</f>
        <v>4000</v>
      </c>
      <c r="L2212" s="51">
        <f t="shared" ref="L2212" si="3153">(IF(F2212="SELL",IF(I2212="",0,H2212-I2212),IF(F2212="BUY",IF(I2212="",0,I2212-H2212))))*E2212</f>
        <v>4000</v>
      </c>
      <c r="M2212" s="52">
        <v>0</v>
      </c>
      <c r="N2212" s="2">
        <f t="shared" si="3132"/>
        <v>10</v>
      </c>
      <c r="O2212" s="2">
        <f t="shared" si="3149"/>
        <v>8000</v>
      </c>
      <c r="P2212" s="13"/>
      <c r="Q2212" s="13"/>
      <c r="R2212" s="13"/>
      <c r="S2212" s="13"/>
      <c r="T2212" s="13"/>
      <c r="U2212" s="13"/>
      <c r="V2212" s="13"/>
      <c r="W2212" s="13"/>
      <c r="X2212" s="13"/>
      <c r="Y2212" s="13"/>
      <c r="Z2212" s="13"/>
      <c r="AA2212" s="13"/>
      <c r="AB2212" s="13"/>
      <c r="AC2212" s="13"/>
      <c r="AD2212" s="13"/>
      <c r="AE2212" s="13"/>
      <c r="AF2212" s="13"/>
      <c r="AG2212" s="13"/>
    </row>
    <row r="2213" spans="1:33" s="14" customFormat="1" ht="15" customHeight="1">
      <c r="A2213" s="10">
        <v>43039</v>
      </c>
      <c r="B2213" s="3" t="s">
        <v>135</v>
      </c>
      <c r="C2213" s="15" t="s">
        <v>47</v>
      </c>
      <c r="D2213" s="15">
        <v>1260</v>
      </c>
      <c r="E2213" s="11">
        <v>750</v>
      </c>
      <c r="F2213" s="3" t="s">
        <v>8</v>
      </c>
      <c r="G2213" s="46">
        <v>25</v>
      </c>
      <c r="H2213" s="3">
        <v>27</v>
      </c>
      <c r="I2213" s="46">
        <v>30</v>
      </c>
      <c r="J2213" s="55">
        <v>0</v>
      </c>
      <c r="K2213" s="1">
        <f t="shared" ref="K2213" si="3154">(IF(F2213="SELL",G2213-H2213,IF(F2213="BUY",H2213-G2213)))*E2213</f>
        <v>1500</v>
      </c>
      <c r="L2213" s="51">
        <f t="shared" ref="L2213" si="3155">(IF(F2213="SELL",IF(I2213="",0,H2213-I2213),IF(F2213="BUY",IF(I2213="",0,I2213-H2213))))*E2213</f>
        <v>2250</v>
      </c>
      <c r="M2213" s="52">
        <v>0</v>
      </c>
      <c r="N2213" s="2">
        <f t="shared" si="3132"/>
        <v>5</v>
      </c>
      <c r="O2213" s="2">
        <f t="shared" si="3149"/>
        <v>3750</v>
      </c>
      <c r="P2213" s="13"/>
      <c r="Q2213" s="13"/>
      <c r="R2213" s="13"/>
      <c r="S2213" s="13"/>
      <c r="T2213" s="13"/>
      <c r="U2213" s="13"/>
      <c r="V2213" s="13"/>
      <c r="W2213" s="13"/>
      <c r="X2213" s="13"/>
      <c r="Y2213" s="13"/>
      <c r="Z2213" s="13"/>
      <c r="AA2213" s="13"/>
      <c r="AB2213" s="13"/>
      <c r="AC2213" s="13"/>
      <c r="AD2213" s="13"/>
      <c r="AE2213" s="13"/>
      <c r="AF2213" s="13"/>
      <c r="AG2213" s="13"/>
    </row>
    <row r="2214" spans="1:33" s="14" customFormat="1" ht="15" customHeight="1">
      <c r="A2214" s="10">
        <v>43039</v>
      </c>
      <c r="B2214" s="3" t="s">
        <v>223</v>
      </c>
      <c r="C2214" s="15" t="s">
        <v>47</v>
      </c>
      <c r="D2214" s="15">
        <v>720</v>
      </c>
      <c r="E2214" s="11">
        <v>600</v>
      </c>
      <c r="F2214" s="3" t="s">
        <v>8</v>
      </c>
      <c r="G2214" s="46">
        <v>13.5</v>
      </c>
      <c r="H2214" s="3">
        <v>16</v>
      </c>
      <c r="I2214" s="46">
        <v>20</v>
      </c>
      <c r="J2214" s="55">
        <v>24</v>
      </c>
      <c r="K2214" s="1">
        <f t="shared" ref="K2214" si="3156">(IF(F2214="SELL",G2214-H2214,IF(F2214="BUY",H2214-G2214)))*E2214</f>
        <v>1500</v>
      </c>
      <c r="L2214" s="51">
        <f t="shared" ref="L2214" si="3157">(IF(F2214="SELL",IF(I2214="",0,H2214-I2214),IF(F2214="BUY",IF(I2214="",0,I2214-H2214))))*E2214</f>
        <v>2400</v>
      </c>
      <c r="M2214" s="52">
        <f>(IF(F2214="SELL",IF(J2214="",0,I2214-J2214),IF(F2214="BUY",IF(J2214="",0,(J2214-I2214)))))*E2214</f>
        <v>2400</v>
      </c>
      <c r="N2214" s="2">
        <f t="shared" si="3132"/>
        <v>10.5</v>
      </c>
      <c r="O2214" s="2">
        <f t="shared" si="3149"/>
        <v>6300</v>
      </c>
      <c r="P2214" s="13"/>
      <c r="Q2214" s="13"/>
      <c r="R2214" s="13"/>
      <c r="S2214" s="13"/>
      <c r="T2214" s="13"/>
      <c r="U2214" s="13"/>
      <c r="V2214" s="13"/>
      <c r="W2214" s="13"/>
      <c r="X2214" s="13"/>
      <c r="Y2214" s="13"/>
      <c r="Z2214" s="13"/>
      <c r="AA2214" s="13"/>
      <c r="AB2214" s="13"/>
      <c r="AC2214" s="13"/>
      <c r="AD2214" s="13"/>
      <c r="AE2214" s="13"/>
      <c r="AF2214" s="13"/>
      <c r="AG2214" s="13"/>
    </row>
    <row r="2215" spans="1:33" s="14" customFormat="1" ht="15" customHeight="1">
      <c r="A2215" s="10">
        <v>43039</v>
      </c>
      <c r="B2215" s="3" t="s">
        <v>222</v>
      </c>
      <c r="C2215" s="15" t="s">
        <v>47</v>
      </c>
      <c r="D2215" s="15">
        <v>1300</v>
      </c>
      <c r="E2215" s="11">
        <v>500</v>
      </c>
      <c r="F2215" s="3" t="s">
        <v>8</v>
      </c>
      <c r="G2215" s="46">
        <v>32</v>
      </c>
      <c r="H2215" s="3">
        <v>36</v>
      </c>
      <c r="I2215" s="46">
        <v>42</v>
      </c>
      <c r="J2215" s="55">
        <v>0</v>
      </c>
      <c r="K2215" s="1">
        <f t="shared" ref="K2215:K2216" si="3158">(IF(F2215="SELL",G2215-H2215,IF(F2215="BUY",H2215-G2215)))*E2215</f>
        <v>2000</v>
      </c>
      <c r="L2215" s="51">
        <f t="shared" ref="L2215" si="3159">(IF(F2215="SELL",IF(I2215="",0,H2215-I2215),IF(F2215="BUY",IF(I2215="",0,I2215-H2215))))*E2215</f>
        <v>3000</v>
      </c>
      <c r="M2215" s="52">
        <v>0</v>
      </c>
      <c r="N2215" s="2">
        <f t="shared" si="3132"/>
        <v>10</v>
      </c>
      <c r="O2215" s="2">
        <f t="shared" si="3149"/>
        <v>5000</v>
      </c>
      <c r="P2215" s="13"/>
      <c r="Q2215" s="13"/>
      <c r="R2215" s="13"/>
      <c r="S2215" s="13"/>
      <c r="T2215" s="13"/>
      <c r="U2215" s="13"/>
      <c r="V2215" s="13"/>
      <c r="W2215" s="13"/>
      <c r="X2215" s="13"/>
      <c r="Y2215" s="13"/>
      <c r="Z2215" s="13"/>
      <c r="AA2215" s="13"/>
      <c r="AB2215" s="13"/>
      <c r="AC2215" s="13"/>
      <c r="AD2215" s="13"/>
      <c r="AE2215" s="13"/>
      <c r="AF2215" s="13"/>
      <c r="AG2215" s="13"/>
    </row>
    <row r="2216" spans="1:33" s="14" customFormat="1" ht="15" customHeight="1">
      <c r="A2216" s="10">
        <v>43038</v>
      </c>
      <c r="B2216" s="3" t="s">
        <v>151</v>
      </c>
      <c r="C2216" s="15" t="s">
        <v>47</v>
      </c>
      <c r="D2216" s="15">
        <v>630</v>
      </c>
      <c r="E2216" s="11">
        <v>1100</v>
      </c>
      <c r="F2216" s="3" t="s">
        <v>8</v>
      </c>
      <c r="G2216" s="46">
        <v>21.5</v>
      </c>
      <c r="H2216" s="3">
        <v>17.5</v>
      </c>
      <c r="I2216" s="46">
        <v>0</v>
      </c>
      <c r="J2216" s="55">
        <v>0</v>
      </c>
      <c r="K2216" s="1">
        <f t="shared" si="3158"/>
        <v>-4400</v>
      </c>
      <c r="L2216" s="51">
        <v>0</v>
      </c>
      <c r="M2216" s="52">
        <v>0</v>
      </c>
      <c r="N2216" s="2">
        <f t="shared" si="3132"/>
        <v>-4</v>
      </c>
      <c r="O2216" s="2">
        <f t="shared" si="3149"/>
        <v>-4400</v>
      </c>
      <c r="P2216" s="13"/>
      <c r="Q2216" s="13"/>
      <c r="R2216" s="13"/>
      <c r="S2216" s="13"/>
      <c r="T2216" s="13"/>
      <c r="U2216" s="13"/>
      <c r="V2216" s="13"/>
      <c r="W2216" s="13"/>
      <c r="X2216" s="13"/>
      <c r="Y2216" s="13"/>
      <c r="Z2216" s="13"/>
      <c r="AA2216" s="13"/>
      <c r="AB2216" s="13"/>
      <c r="AC2216" s="13"/>
      <c r="AD2216" s="13"/>
      <c r="AE2216" s="13"/>
      <c r="AF2216" s="13"/>
      <c r="AG2216" s="13"/>
    </row>
    <row r="2217" spans="1:33" s="14" customFormat="1" ht="15" customHeight="1">
      <c r="A2217" s="10">
        <v>43038</v>
      </c>
      <c r="B2217" s="3" t="s">
        <v>221</v>
      </c>
      <c r="C2217" s="15" t="s">
        <v>47</v>
      </c>
      <c r="D2217" s="15">
        <v>700</v>
      </c>
      <c r="E2217" s="11">
        <v>800</v>
      </c>
      <c r="F2217" s="3" t="s">
        <v>8</v>
      </c>
      <c r="G2217" s="46">
        <v>29</v>
      </c>
      <c r="H2217" s="3">
        <v>31</v>
      </c>
      <c r="I2217" s="46">
        <v>0</v>
      </c>
      <c r="J2217" s="55">
        <v>0</v>
      </c>
      <c r="K2217" s="1">
        <f t="shared" ref="K2217" si="3160">(IF(F2217="SELL",G2217-H2217,IF(F2217="BUY",H2217-G2217)))*E2217</f>
        <v>1600</v>
      </c>
      <c r="L2217" s="51">
        <v>0</v>
      </c>
      <c r="M2217" s="52">
        <v>0</v>
      </c>
      <c r="N2217" s="2">
        <f t="shared" si="3132"/>
        <v>2</v>
      </c>
      <c r="O2217" s="2">
        <f t="shared" si="3149"/>
        <v>1600</v>
      </c>
      <c r="P2217" s="13"/>
      <c r="Q2217" s="13"/>
      <c r="R2217" s="13"/>
      <c r="S2217" s="13"/>
      <c r="T2217" s="13"/>
      <c r="U2217" s="13"/>
      <c r="V2217" s="13"/>
      <c r="W2217" s="13"/>
      <c r="X2217" s="13"/>
      <c r="Y2217" s="13"/>
      <c r="Z2217" s="13"/>
      <c r="AA2217" s="13"/>
      <c r="AB2217" s="13"/>
      <c r="AC2217" s="13"/>
      <c r="AD2217" s="13"/>
      <c r="AE2217" s="13"/>
      <c r="AF2217" s="13"/>
      <c r="AG2217" s="13"/>
    </row>
    <row r="2218" spans="1:33" s="14" customFormat="1" ht="15" customHeight="1">
      <c r="A2218" s="10">
        <v>43038</v>
      </c>
      <c r="B2218" s="3" t="s">
        <v>220</v>
      </c>
      <c r="C2218" s="15" t="s">
        <v>47</v>
      </c>
      <c r="D2218" s="15">
        <v>2500</v>
      </c>
      <c r="E2218" s="11">
        <v>200</v>
      </c>
      <c r="F2218" s="3" t="s">
        <v>8</v>
      </c>
      <c r="G2218" s="46">
        <v>79</v>
      </c>
      <c r="H2218" s="3">
        <v>87</v>
      </c>
      <c r="I2218" s="46">
        <v>0</v>
      </c>
      <c r="J2218" s="55">
        <v>0</v>
      </c>
      <c r="K2218" s="1">
        <f t="shared" ref="K2218" si="3161">(IF(F2218="SELL",G2218-H2218,IF(F2218="BUY",H2218-G2218)))*E2218</f>
        <v>1600</v>
      </c>
      <c r="L2218" s="51">
        <v>0</v>
      </c>
      <c r="M2218" s="52">
        <v>0</v>
      </c>
      <c r="N2218" s="2">
        <f t="shared" si="3132"/>
        <v>8</v>
      </c>
      <c r="O2218" s="2">
        <f t="shared" si="3149"/>
        <v>1600</v>
      </c>
      <c r="P2218" s="13"/>
      <c r="Q2218" s="13"/>
      <c r="R2218" s="13"/>
      <c r="S2218" s="13"/>
      <c r="T2218" s="13"/>
      <c r="U2218" s="13"/>
      <c r="V2218" s="13"/>
      <c r="W2218" s="13"/>
      <c r="X2218" s="13"/>
      <c r="Y2218" s="13"/>
      <c r="Z2218" s="13"/>
      <c r="AA2218" s="13"/>
      <c r="AB2218" s="13"/>
      <c r="AC2218" s="13"/>
      <c r="AD2218" s="13"/>
      <c r="AE2218" s="13"/>
      <c r="AF2218" s="13"/>
      <c r="AG2218" s="13"/>
    </row>
    <row r="2219" spans="1:33" s="14" customFormat="1" ht="15" customHeight="1">
      <c r="A2219" s="10">
        <v>43038</v>
      </c>
      <c r="B2219" s="3" t="s">
        <v>199</v>
      </c>
      <c r="C2219" s="15" t="s">
        <v>47</v>
      </c>
      <c r="D2219" s="15">
        <v>750</v>
      </c>
      <c r="E2219" s="11">
        <v>2000</v>
      </c>
      <c r="F2219" s="3" t="s">
        <v>8</v>
      </c>
      <c r="G2219" s="46">
        <v>17.5</v>
      </c>
      <c r="H2219" s="3">
        <v>18.5</v>
      </c>
      <c r="I2219" s="46">
        <v>0</v>
      </c>
      <c r="J2219" s="55">
        <v>0</v>
      </c>
      <c r="K2219" s="1">
        <f t="shared" ref="K2219:K2220" si="3162">(IF(F2219="SELL",G2219-H2219,IF(F2219="BUY",H2219-G2219)))*E2219</f>
        <v>2000</v>
      </c>
      <c r="L2219" s="51">
        <v>0</v>
      </c>
      <c r="M2219" s="52">
        <v>0</v>
      </c>
      <c r="N2219" s="2">
        <f t="shared" si="3132"/>
        <v>1</v>
      </c>
      <c r="O2219" s="2">
        <f t="shared" si="3149"/>
        <v>2000</v>
      </c>
      <c r="P2219" s="13"/>
      <c r="Q2219" s="13"/>
      <c r="R2219" s="13"/>
      <c r="S2219" s="13"/>
      <c r="T2219" s="13"/>
      <c r="U2219" s="13"/>
      <c r="V2219" s="13"/>
      <c r="W2219" s="13"/>
      <c r="X2219" s="13"/>
      <c r="Y2219" s="13"/>
      <c r="Z2219" s="13"/>
      <c r="AA2219" s="13"/>
      <c r="AB2219" s="13"/>
      <c r="AC2219" s="13"/>
      <c r="AD2219" s="13"/>
      <c r="AE2219" s="13"/>
      <c r="AF2219" s="13"/>
      <c r="AG2219" s="13"/>
    </row>
    <row r="2220" spans="1:33" s="14" customFormat="1" ht="15" customHeight="1">
      <c r="A2220" s="10">
        <v>43038</v>
      </c>
      <c r="B2220" s="3" t="s">
        <v>156</v>
      </c>
      <c r="C2220" s="15" t="s">
        <v>47</v>
      </c>
      <c r="D2220" s="15">
        <v>620</v>
      </c>
      <c r="E2220" s="11">
        <v>2000</v>
      </c>
      <c r="F2220" s="3" t="s">
        <v>8</v>
      </c>
      <c r="G2220" s="46">
        <v>16</v>
      </c>
      <c r="H2220" s="3">
        <v>17</v>
      </c>
      <c r="I2220" s="46">
        <v>18</v>
      </c>
      <c r="J2220" s="55">
        <v>0</v>
      </c>
      <c r="K2220" s="1">
        <f t="shared" si="3162"/>
        <v>2000</v>
      </c>
      <c r="L2220" s="51">
        <f t="shared" ref="L2220" si="3163">(IF(F2220="SELL",IF(I2220="",0,H2220-I2220),IF(F2220="BUY",IF(I2220="",0,I2220-H2220))))*E2220</f>
        <v>2000</v>
      </c>
      <c r="M2220" s="52">
        <v>0</v>
      </c>
      <c r="N2220" s="2">
        <f t="shared" si="3132"/>
        <v>2</v>
      </c>
      <c r="O2220" s="2">
        <f t="shared" si="3149"/>
        <v>4000</v>
      </c>
      <c r="P2220" s="13"/>
      <c r="Q2220" s="13"/>
      <c r="R2220" s="13"/>
      <c r="S2220" s="13"/>
      <c r="T2220" s="13"/>
      <c r="U2220" s="13"/>
      <c r="V2220" s="13"/>
      <c r="W2220" s="13"/>
      <c r="X2220" s="13"/>
      <c r="Y2220" s="13"/>
      <c r="Z2220" s="13"/>
      <c r="AA2220" s="13"/>
      <c r="AB2220" s="13"/>
      <c r="AC2220" s="13"/>
      <c r="AD2220" s="13"/>
      <c r="AE2220" s="13"/>
      <c r="AF2220" s="13"/>
      <c r="AG2220" s="13"/>
    </row>
    <row r="2221" spans="1:33" s="14" customFormat="1" ht="15" customHeight="1">
      <c r="A2221" s="10">
        <v>43038</v>
      </c>
      <c r="B2221" s="3" t="s">
        <v>219</v>
      </c>
      <c r="C2221" s="15" t="s">
        <v>47</v>
      </c>
      <c r="D2221" s="15">
        <v>640</v>
      </c>
      <c r="E2221" s="11">
        <v>1500</v>
      </c>
      <c r="F2221" s="3" t="s">
        <v>8</v>
      </c>
      <c r="G2221" s="46">
        <v>22</v>
      </c>
      <c r="H2221" s="3">
        <v>23</v>
      </c>
      <c r="I2221" s="46">
        <v>25</v>
      </c>
      <c r="J2221" s="55">
        <v>0</v>
      </c>
      <c r="K2221" s="1">
        <f t="shared" ref="K2221" si="3164">(IF(F2221="SELL",G2221-H2221,IF(F2221="BUY",H2221-G2221)))*E2221</f>
        <v>1500</v>
      </c>
      <c r="L2221" s="51">
        <f t="shared" ref="L2221" si="3165">(IF(F2221="SELL",IF(I2221="",0,H2221-I2221),IF(F2221="BUY",IF(I2221="",0,I2221-H2221))))*E2221</f>
        <v>3000</v>
      </c>
      <c r="M2221" s="52">
        <v>0</v>
      </c>
      <c r="N2221" s="2">
        <f t="shared" si="3132"/>
        <v>3</v>
      </c>
      <c r="O2221" s="2">
        <f t="shared" si="3149"/>
        <v>4500</v>
      </c>
      <c r="P2221" s="13"/>
      <c r="Q2221" s="13"/>
      <c r="R2221" s="13"/>
      <c r="S2221" s="13"/>
      <c r="T2221" s="13"/>
      <c r="U2221" s="13"/>
      <c r="V2221" s="13"/>
      <c r="W2221" s="13"/>
      <c r="X2221" s="13"/>
      <c r="Y2221" s="13"/>
      <c r="Z2221" s="13"/>
      <c r="AA2221" s="13"/>
      <c r="AB2221" s="13"/>
      <c r="AC2221" s="13"/>
      <c r="AD2221" s="13"/>
      <c r="AE2221" s="13"/>
      <c r="AF2221" s="13"/>
      <c r="AG2221" s="13"/>
    </row>
    <row r="2222" spans="1:33" s="14" customFormat="1" ht="15" customHeight="1">
      <c r="A2222" s="10">
        <v>43035</v>
      </c>
      <c r="B2222" s="3" t="s">
        <v>218</v>
      </c>
      <c r="C2222" s="15" t="s">
        <v>47</v>
      </c>
      <c r="D2222" s="15">
        <v>620</v>
      </c>
      <c r="E2222" s="11">
        <v>1500</v>
      </c>
      <c r="F2222" s="3" t="s">
        <v>8</v>
      </c>
      <c r="G2222" s="46">
        <v>20</v>
      </c>
      <c r="H2222" s="3">
        <v>21</v>
      </c>
      <c r="I2222" s="46">
        <v>23</v>
      </c>
      <c r="J2222" s="55">
        <v>0</v>
      </c>
      <c r="K2222" s="1">
        <f t="shared" ref="K2222:K2223" si="3166">(IF(F2222="SELL",G2222-H2222,IF(F2222="BUY",H2222-G2222)))*E2222</f>
        <v>1500</v>
      </c>
      <c r="L2222" s="51">
        <f t="shared" ref="L2222:L2223" si="3167">(IF(F2222="SELL",IF(I2222="",0,H2222-I2222),IF(F2222="BUY",IF(I2222="",0,I2222-H2222))))*E2222</f>
        <v>3000</v>
      </c>
      <c r="M2222" s="52">
        <v>0</v>
      </c>
      <c r="N2222" s="2">
        <f t="shared" si="3132"/>
        <v>3</v>
      </c>
      <c r="O2222" s="2">
        <f t="shared" si="3149"/>
        <v>4500</v>
      </c>
      <c r="P2222" s="13"/>
      <c r="Q2222" s="13"/>
      <c r="R2222" s="13"/>
      <c r="S2222" s="13"/>
      <c r="T2222" s="13"/>
      <c r="U2222" s="13"/>
      <c r="V2222" s="13"/>
      <c r="W2222" s="13"/>
      <c r="X2222" s="13"/>
      <c r="Y2222" s="13"/>
      <c r="Z2222" s="13"/>
      <c r="AA2222" s="13"/>
      <c r="AB2222" s="13"/>
      <c r="AC2222" s="13"/>
      <c r="AD2222" s="13"/>
      <c r="AE2222" s="13"/>
      <c r="AF2222" s="13"/>
      <c r="AG2222" s="13"/>
    </row>
    <row r="2223" spans="1:33" s="14" customFormat="1" ht="15" customHeight="1">
      <c r="A2223" s="10">
        <v>43035</v>
      </c>
      <c r="B2223" s="3" t="s">
        <v>218</v>
      </c>
      <c r="C2223" s="15" t="s">
        <v>47</v>
      </c>
      <c r="D2223" s="15">
        <v>620</v>
      </c>
      <c r="E2223" s="11">
        <v>2000</v>
      </c>
      <c r="F2223" s="3" t="s">
        <v>8</v>
      </c>
      <c r="G2223" s="46">
        <v>20.5</v>
      </c>
      <c r="H2223" s="3">
        <v>21.5</v>
      </c>
      <c r="I2223" s="46">
        <v>23</v>
      </c>
      <c r="J2223" s="55">
        <v>25</v>
      </c>
      <c r="K2223" s="1">
        <f t="shared" si="3166"/>
        <v>2000</v>
      </c>
      <c r="L2223" s="51">
        <f t="shared" si="3167"/>
        <v>3000</v>
      </c>
      <c r="M2223" s="52">
        <f>(IF(F2223="SELL",IF(J2223="",0,I2223-J2223),IF(F2223="BUY",IF(J2223="",0,(J2223-I2223)))))*E2223</f>
        <v>4000</v>
      </c>
      <c r="N2223" s="2">
        <f t="shared" si="3132"/>
        <v>4.5</v>
      </c>
      <c r="O2223" s="2">
        <f t="shared" si="3149"/>
        <v>9000</v>
      </c>
      <c r="P2223" s="13"/>
      <c r="Q2223" s="13"/>
      <c r="R2223" s="13"/>
      <c r="S2223" s="13"/>
      <c r="T2223" s="13"/>
      <c r="U2223" s="13"/>
      <c r="V2223" s="13"/>
      <c r="W2223" s="13"/>
      <c r="X2223" s="13"/>
      <c r="Y2223" s="13"/>
      <c r="Z2223" s="13"/>
      <c r="AA2223" s="13"/>
      <c r="AB2223" s="13"/>
      <c r="AC2223" s="13"/>
      <c r="AD2223" s="13"/>
      <c r="AE2223" s="13"/>
      <c r="AF2223" s="13"/>
      <c r="AG2223" s="13"/>
    </row>
    <row r="2224" spans="1:33" s="14" customFormat="1" ht="15" customHeight="1">
      <c r="A2224" s="10">
        <v>43035</v>
      </c>
      <c r="B2224" s="3" t="s">
        <v>217</v>
      </c>
      <c r="C2224" s="15" t="s">
        <v>47</v>
      </c>
      <c r="D2224" s="15">
        <v>280</v>
      </c>
      <c r="E2224" s="11">
        <v>3000</v>
      </c>
      <c r="F2224" s="3" t="s">
        <v>8</v>
      </c>
      <c r="G2224" s="46">
        <v>7.2</v>
      </c>
      <c r="H2224" s="3">
        <v>7.7</v>
      </c>
      <c r="I2224" s="46">
        <v>8.5</v>
      </c>
      <c r="J2224" s="55">
        <v>0</v>
      </c>
      <c r="K2224" s="1">
        <f t="shared" ref="K2224" si="3168">(IF(F2224="SELL",G2224-H2224,IF(F2224="BUY",H2224-G2224)))*E2224</f>
        <v>1500</v>
      </c>
      <c r="L2224" s="51">
        <v>1750</v>
      </c>
      <c r="M2224" s="52">
        <v>0</v>
      </c>
      <c r="N2224" s="2">
        <f t="shared" si="3132"/>
        <v>1.0833333333333333</v>
      </c>
      <c r="O2224" s="2">
        <f t="shared" si="3149"/>
        <v>3250</v>
      </c>
      <c r="P2224" s="13"/>
      <c r="Q2224" s="13"/>
      <c r="R2224" s="13"/>
      <c r="S2224" s="13"/>
      <c r="T2224" s="13"/>
      <c r="U2224" s="13"/>
      <c r="V2224" s="13"/>
      <c r="W2224" s="13"/>
      <c r="X2224" s="13"/>
      <c r="Y2224" s="13"/>
      <c r="Z2224" s="13"/>
      <c r="AA2224" s="13"/>
      <c r="AB2224" s="13"/>
      <c r="AC2224" s="13"/>
      <c r="AD2224" s="13"/>
      <c r="AE2224" s="13"/>
      <c r="AF2224" s="13"/>
      <c r="AG2224" s="13"/>
    </row>
    <row r="2225" spans="1:33" s="14" customFormat="1" ht="15" customHeight="1">
      <c r="A2225" s="10">
        <v>43034</v>
      </c>
      <c r="B2225" s="3" t="s">
        <v>60</v>
      </c>
      <c r="C2225" s="15" t="s">
        <v>47</v>
      </c>
      <c r="D2225" s="15">
        <v>340</v>
      </c>
      <c r="E2225" s="11">
        <v>3500</v>
      </c>
      <c r="F2225" s="3" t="s">
        <v>8</v>
      </c>
      <c r="G2225" s="46">
        <v>2</v>
      </c>
      <c r="H2225" s="3">
        <v>2.5</v>
      </c>
      <c r="I2225" s="46">
        <v>3</v>
      </c>
      <c r="J2225" s="55">
        <v>0</v>
      </c>
      <c r="K2225" s="1">
        <f t="shared" ref="K2225" si="3169">(IF(F2225="SELL",G2225-H2225,IF(F2225="BUY",H2225-G2225)))*E2225</f>
        <v>1750</v>
      </c>
      <c r="L2225" s="51">
        <v>1750</v>
      </c>
      <c r="M2225" s="52">
        <v>0</v>
      </c>
      <c r="N2225" s="2">
        <f t="shared" si="3132"/>
        <v>1</v>
      </c>
      <c r="O2225" s="2">
        <f t="shared" si="3149"/>
        <v>3500</v>
      </c>
      <c r="P2225" s="13"/>
      <c r="Q2225" s="13"/>
      <c r="R2225" s="13"/>
      <c r="S2225" s="13"/>
      <c r="T2225" s="13"/>
      <c r="U2225" s="13"/>
      <c r="V2225" s="13"/>
      <c r="W2225" s="13"/>
      <c r="X2225" s="13"/>
      <c r="Y2225" s="13"/>
      <c r="Z2225" s="13"/>
      <c r="AA2225" s="13"/>
      <c r="AB2225" s="13"/>
      <c r="AC2225" s="13"/>
      <c r="AD2225" s="13"/>
      <c r="AE2225" s="13"/>
      <c r="AF2225" s="13"/>
      <c r="AG2225" s="13"/>
    </row>
    <row r="2226" spans="1:33" s="14" customFormat="1" ht="15" customHeight="1">
      <c r="A2226" s="10">
        <v>43034</v>
      </c>
      <c r="B2226" s="3" t="s">
        <v>216</v>
      </c>
      <c r="C2226" s="15" t="s">
        <v>47</v>
      </c>
      <c r="D2226" s="15">
        <v>260</v>
      </c>
      <c r="E2226" s="11">
        <v>3000</v>
      </c>
      <c r="F2226" s="3" t="s">
        <v>8</v>
      </c>
      <c r="G2226" s="46">
        <v>2.75</v>
      </c>
      <c r="H2226" s="3">
        <v>3.75</v>
      </c>
      <c r="I2226" s="46">
        <v>0</v>
      </c>
      <c r="J2226" s="55">
        <v>0</v>
      </c>
      <c r="K2226" s="1">
        <f t="shared" ref="K2226" si="3170">(IF(F2226="SELL",G2226-H2226,IF(F2226="BUY",H2226-G2226)))*E2226</f>
        <v>3000</v>
      </c>
      <c r="L2226" s="51">
        <v>0</v>
      </c>
      <c r="M2226" s="52">
        <v>0</v>
      </c>
      <c r="N2226" s="2">
        <f t="shared" si="3132"/>
        <v>1</v>
      </c>
      <c r="O2226" s="2">
        <f t="shared" si="3149"/>
        <v>3000</v>
      </c>
      <c r="P2226" s="13"/>
      <c r="Q2226" s="13"/>
      <c r="R2226" s="13"/>
      <c r="S2226" s="13"/>
      <c r="T2226" s="13"/>
      <c r="U2226" s="13"/>
      <c r="V2226" s="13"/>
      <c r="W2226" s="13"/>
      <c r="X2226" s="13"/>
      <c r="Y2226" s="13"/>
      <c r="Z2226" s="13"/>
      <c r="AA2226" s="13"/>
      <c r="AB2226" s="13"/>
      <c r="AC2226" s="13"/>
      <c r="AD2226" s="13"/>
      <c r="AE2226" s="13"/>
      <c r="AF2226" s="13"/>
      <c r="AG2226" s="13"/>
    </row>
    <row r="2227" spans="1:33" s="14" customFormat="1" ht="15" customHeight="1">
      <c r="A2227" s="10">
        <v>43033</v>
      </c>
      <c r="B2227" s="3" t="s">
        <v>153</v>
      </c>
      <c r="C2227" s="15" t="s">
        <v>47</v>
      </c>
      <c r="D2227" s="15">
        <v>540</v>
      </c>
      <c r="E2227" s="11">
        <v>3000</v>
      </c>
      <c r="F2227" s="3" t="s">
        <v>8</v>
      </c>
      <c r="G2227" s="46">
        <v>4.5</v>
      </c>
      <c r="H2227" s="3">
        <v>0</v>
      </c>
      <c r="I2227" s="46">
        <v>0</v>
      </c>
      <c r="J2227" s="55">
        <v>0</v>
      </c>
      <c r="K2227" s="1">
        <v>0</v>
      </c>
      <c r="L2227" s="51">
        <v>0</v>
      </c>
      <c r="M2227" s="52">
        <v>0</v>
      </c>
      <c r="N2227" s="2">
        <f t="shared" si="3132"/>
        <v>0</v>
      </c>
      <c r="O2227" s="2">
        <f t="shared" si="3149"/>
        <v>0</v>
      </c>
      <c r="P2227" s="13"/>
      <c r="Q2227" s="13"/>
      <c r="R2227" s="13"/>
      <c r="S2227" s="13"/>
      <c r="T2227" s="13"/>
      <c r="U2227" s="13"/>
      <c r="V2227" s="13"/>
      <c r="W2227" s="13"/>
      <c r="X2227" s="13"/>
      <c r="Y2227" s="13"/>
      <c r="Z2227" s="13"/>
      <c r="AA2227" s="13"/>
      <c r="AB2227" s="13"/>
      <c r="AC2227" s="13"/>
      <c r="AD2227" s="13"/>
      <c r="AE2227" s="13"/>
      <c r="AF2227" s="13"/>
      <c r="AG2227" s="13"/>
    </row>
    <row r="2228" spans="1:33" s="14" customFormat="1" ht="15" customHeight="1">
      <c r="A2228" s="10">
        <v>43032</v>
      </c>
      <c r="B2228" s="3" t="s">
        <v>156</v>
      </c>
      <c r="C2228" s="15" t="s">
        <v>47</v>
      </c>
      <c r="D2228" s="15">
        <v>510</v>
      </c>
      <c r="E2228" s="11">
        <v>2000</v>
      </c>
      <c r="F2228" s="3" t="s">
        <v>8</v>
      </c>
      <c r="G2228" s="46">
        <v>4.3</v>
      </c>
      <c r="H2228" s="3">
        <v>5.15</v>
      </c>
      <c r="I2228" s="46">
        <v>0</v>
      </c>
      <c r="J2228" s="55">
        <v>0</v>
      </c>
      <c r="K2228" s="1">
        <f t="shared" ref="K2228" si="3171">(IF(F2228="SELL",G2228-H2228,IF(F2228="BUY",H2228-G2228)))*E2228</f>
        <v>1700.0000000000011</v>
      </c>
      <c r="L2228" s="51">
        <v>0</v>
      </c>
      <c r="M2228" s="52">
        <v>0</v>
      </c>
      <c r="N2228" s="2">
        <f t="shared" si="3132"/>
        <v>0.85000000000000053</v>
      </c>
      <c r="O2228" s="2">
        <f t="shared" si="3149"/>
        <v>1700.0000000000011</v>
      </c>
      <c r="P2228" s="13"/>
      <c r="Q2228" s="13"/>
      <c r="R2228" s="13"/>
      <c r="S2228" s="13"/>
      <c r="T2228" s="13"/>
      <c r="U2228" s="13"/>
      <c r="V2228" s="13"/>
      <c r="W2228" s="13"/>
      <c r="X2228" s="13"/>
      <c r="Y2228" s="13"/>
      <c r="Z2228" s="13"/>
      <c r="AA2228" s="13"/>
      <c r="AB2228" s="13"/>
      <c r="AC2228" s="13"/>
      <c r="AD2228" s="13"/>
      <c r="AE2228" s="13"/>
      <c r="AF2228" s="13"/>
      <c r="AG2228" s="13"/>
    </row>
    <row r="2229" spans="1:33" s="14" customFormat="1" ht="15" customHeight="1">
      <c r="A2229" s="10">
        <v>43032</v>
      </c>
      <c r="B2229" s="3" t="s">
        <v>213</v>
      </c>
      <c r="C2229" s="15" t="s">
        <v>47</v>
      </c>
      <c r="D2229" s="15">
        <v>410</v>
      </c>
      <c r="E2229" s="11">
        <v>2000</v>
      </c>
      <c r="F2229" s="3" t="s">
        <v>8</v>
      </c>
      <c r="G2229" s="46">
        <v>3.3</v>
      </c>
      <c r="H2229" s="3">
        <v>5</v>
      </c>
      <c r="I2229" s="46">
        <v>7</v>
      </c>
      <c r="J2229" s="55">
        <v>0</v>
      </c>
      <c r="K2229" s="1">
        <f t="shared" ref="K2229" si="3172">(IF(F2229="SELL",G2229-H2229,IF(F2229="BUY",H2229-G2229)))*E2229</f>
        <v>3400.0000000000005</v>
      </c>
      <c r="L2229" s="51">
        <f t="shared" ref="L2229" si="3173">(IF(F2229="SELL",IF(I2229="",0,H2229-I2229),IF(F2229="BUY",IF(I2229="",0,I2229-H2229))))*E2229</f>
        <v>4000</v>
      </c>
      <c r="M2229" s="52">
        <v>0</v>
      </c>
      <c r="N2229" s="2">
        <f t="shared" si="3132"/>
        <v>3.7</v>
      </c>
      <c r="O2229" s="2">
        <f t="shared" si="3149"/>
        <v>7400</v>
      </c>
      <c r="P2229" s="13"/>
      <c r="Q2229" s="13"/>
      <c r="R2229" s="13"/>
      <c r="S2229" s="13"/>
      <c r="T2229" s="13"/>
      <c r="U2229" s="13"/>
      <c r="V2229" s="13"/>
      <c r="W2229" s="13"/>
      <c r="X2229" s="13"/>
      <c r="Y2229" s="13"/>
      <c r="Z2229" s="13"/>
      <c r="AA2229" s="13"/>
      <c r="AB2229" s="13"/>
      <c r="AC2229" s="13"/>
      <c r="AD2229" s="13"/>
      <c r="AE2229" s="13"/>
      <c r="AF2229" s="13"/>
      <c r="AG2229" s="13"/>
    </row>
    <row r="2230" spans="1:33" s="14" customFormat="1" ht="15" customHeight="1">
      <c r="A2230" s="10">
        <v>43031</v>
      </c>
      <c r="B2230" s="3" t="s">
        <v>16</v>
      </c>
      <c r="C2230" s="15" t="s">
        <v>47</v>
      </c>
      <c r="D2230" s="15">
        <v>410</v>
      </c>
      <c r="E2230" s="11">
        <v>2500</v>
      </c>
      <c r="F2230" s="3" t="s">
        <v>8</v>
      </c>
      <c r="G2230" s="46">
        <v>5</v>
      </c>
      <c r="H2230" s="3">
        <v>6.1</v>
      </c>
      <c r="I2230" s="46">
        <v>0</v>
      </c>
      <c r="J2230" s="55">
        <v>0</v>
      </c>
      <c r="K2230" s="1">
        <f t="shared" ref="K2230" si="3174">(IF(F2230="SELL",G2230-H2230,IF(F2230="BUY",H2230-G2230)))*E2230</f>
        <v>2749.9999999999991</v>
      </c>
      <c r="L2230" s="51">
        <v>0</v>
      </c>
      <c r="M2230" s="52">
        <v>0</v>
      </c>
      <c r="N2230" s="2">
        <f t="shared" si="3132"/>
        <v>1.0999999999999996</v>
      </c>
      <c r="O2230" s="2">
        <f t="shared" si="3149"/>
        <v>2749.9999999999991</v>
      </c>
      <c r="P2230" s="13"/>
      <c r="Q2230" s="13"/>
      <c r="R2230" s="13"/>
      <c r="S2230" s="13"/>
      <c r="T2230" s="13"/>
      <c r="U2230" s="13"/>
      <c r="V2230" s="13"/>
      <c r="W2230" s="13"/>
      <c r="X2230" s="13"/>
      <c r="Y2230" s="13"/>
      <c r="Z2230" s="13"/>
      <c r="AA2230" s="13"/>
      <c r="AB2230" s="13"/>
      <c r="AC2230" s="13"/>
      <c r="AD2230" s="13"/>
      <c r="AE2230" s="13"/>
      <c r="AF2230" s="13"/>
      <c r="AG2230" s="13"/>
    </row>
    <row r="2231" spans="1:33" s="14" customFormat="1" ht="15" customHeight="1">
      <c r="A2231" s="10">
        <v>43031</v>
      </c>
      <c r="B2231" s="3" t="s">
        <v>215</v>
      </c>
      <c r="C2231" s="15" t="s">
        <v>47</v>
      </c>
      <c r="D2231" s="15">
        <v>490</v>
      </c>
      <c r="E2231" s="11">
        <v>1300</v>
      </c>
      <c r="F2231" s="3" t="s">
        <v>8</v>
      </c>
      <c r="G2231" s="46">
        <v>8.6</v>
      </c>
      <c r="H2231" s="3">
        <v>10</v>
      </c>
      <c r="I2231" s="46">
        <v>0</v>
      </c>
      <c r="J2231" s="55">
        <v>0</v>
      </c>
      <c r="K2231" s="1">
        <f t="shared" ref="K2231" si="3175">(IF(F2231="SELL",G2231-H2231,IF(F2231="BUY",H2231-G2231)))*E2231</f>
        <v>1820.0000000000005</v>
      </c>
      <c r="L2231" s="51">
        <v>0</v>
      </c>
      <c r="M2231" s="52">
        <v>0</v>
      </c>
      <c r="N2231" s="2">
        <f t="shared" si="3132"/>
        <v>1.4000000000000004</v>
      </c>
      <c r="O2231" s="2">
        <f t="shared" si="3149"/>
        <v>1820.0000000000005</v>
      </c>
      <c r="P2231" s="13"/>
      <c r="Q2231" s="13"/>
      <c r="R2231" s="13"/>
      <c r="S2231" s="13"/>
      <c r="T2231" s="13"/>
      <c r="U2231" s="13"/>
      <c r="V2231" s="13"/>
      <c r="W2231" s="13"/>
      <c r="X2231" s="13"/>
      <c r="Y2231" s="13"/>
      <c r="Z2231" s="13"/>
      <c r="AA2231" s="13"/>
      <c r="AB2231" s="13"/>
      <c r="AC2231" s="13"/>
      <c r="AD2231" s="13"/>
      <c r="AE2231" s="13"/>
      <c r="AF2231" s="13"/>
      <c r="AG2231" s="13"/>
    </row>
    <row r="2232" spans="1:33" s="14" customFormat="1" ht="15" customHeight="1">
      <c r="A2232" s="10">
        <v>43031</v>
      </c>
      <c r="B2232" s="3" t="s">
        <v>214</v>
      </c>
      <c r="C2232" s="15" t="s">
        <v>47</v>
      </c>
      <c r="D2232" s="15">
        <v>440</v>
      </c>
      <c r="E2232" s="11">
        <v>2000</v>
      </c>
      <c r="F2232" s="3" t="s">
        <v>8</v>
      </c>
      <c r="G2232" s="46">
        <v>5.0999999999999996</v>
      </c>
      <c r="H2232" s="3">
        <v>6.1</v>
      </c>
      <c r="I2232" s="46">
        <v>0</v>
      </c>
      <c r="J2232" s="55">
        <v>0</v>
      </c>
      <c r="K2232" s="1">
        <f t="shared" ref="K2232" si="3176">(IF(F2232="SELL",G2232-H2232,IF(F2232="BUY",H2232-G2232)))*E2232</f>
        <v>2000</v>
      </c>
      <c r="L2232" s="51">
        <v>0</v>
      </c>
      <c r="M2232" s="52">
        <v>0</v>
      </c>
      <c r="N2232" s="2">
        <f t="shared" si="3132"/>
        <v>1</v>
      </c>
      <c r="O2232" s="2">
        <f t="shared" si="3149"/>
        <v>2000</v>
      </c>
      <c r="P2232" s="13"/>
      <c r="Q2232" s="13"/>
      <c r="R2232" s="13"/>
      <c r="S2232" s="13"/>
      <c r="T2232" s="13"/>
      <c r="U2232" s="13"/>
      <c r="V2232" s="13"/>
      <c r="W2232" s="13"/>
      <c r="X2232" s="13"/>
      <c r="Y2232" s="13"/>
      <c r="Z2232" s="13"/>
      <c r="AA2232" s="13"/>
      <c r="AB2232" s="13"/>
      <c r="AC2232" s="13"/>
      <c r="AD2232" s="13"/>
      <c r="AE2232" s="13"/>
      <c r="AF2232" s="13"/>
      <c r="AG2232" s="13"/>
    </row>
    <row r="2233" spans="1:33" s="14" customFormat="1" ht="15" customHeight="1">
      <c r="A2233" s="10">
        <v>43031</v>
      </c>
      <c r="B2233" s="3" t="s">
        <v>156</v>
      </c>
      <c r="C2233" s="15" t="s">
        <v>47</v>
      </c>
      <c r="D2233" s="15">
        <v>560</v>
      </c>
      <c r="E2233" s="11">
        <v>2000</v>
      </c>
      <c r="F2233" s="3" t="s">
        <v>8</v>
      </c>
      <c r="G2233" s="46">
        <v>9</v>
      </c>
      <c r="H2233" s="3">
        <v>10</v>
      </c>
      <c r="I2233" s="46">
        <v>11.5</v>
      </c>
      <c r="J2233" s="55">
        <v>0</v>
      </c>
      <c r="K2233" s="1">
        <f t="shared" ref="K2233" si="3177">(IF(F2233="SELL",G2233-H2233,IF(F2233="BUY",H2233-G2233)))*E2233</f>
        <v>2000</v>
      </c>
      <c r="L2233" s="51">
        <f t="shared" ref="L2233" si="3178">(IF(F2233="SELL",IF(I2233="",0,H2233-I2233),IF(F2233="BUY",IF(I2233="",0,I2233-H2233))))*E2233</f>
        <v>3000</v>
      </c>
      <c r="M2233" s="52">
        <v>0</v>
      </c>
      <c r="N2233" s="2">
        <f t="shared" si="3132"/>
        <v>2.5</v>
      </c>
      <c r="O2233" s="2">
        <f t="shared" si="3149"/>
        <v>5000</v>
      </c>
      <c r="P2233" s="13"/>
      <c r="Q2233" s="13"/>
      <c r="R2233" s="13"/>
      <c r="S2233" s="13"/>
      <c r="T2233" s="13"/>
      <c r="U2233" s="13"/>
      <c r="V2233" s="13"/>
      <c r="W2233" s="13"/>
      <c r="X2233" s="13"/>
      <c r="Y2233" s="13"/>
      <c r="Z2233" s="13"/>
      <c r="AA2233" s="13"/>
      <c r="AB2233" s="13"/>
      <c r="AC2233" s="13"/>
      <c r="AD2233" s="13"/>
      <c r="AE2233" s="13"/>
      <c r="AF2233" s="13"/>
      <c r="AG2233" s="13"/>
    </row>
    <row r="2234" spans="1:33" s="14" customFormat="1" ht="15" customHeight="1">
      <c r="A2234" s="10">
        <v>43026</v>
      </c>
      <c r="B2234" s="3" t="s">
        <v>213</v>
      </c>
      <c r="C2234" s="15" t="s">
        <v>47</v>
      </c>
      <c r="D2234" s="15">
        <v>400</v>
      </c>
      <c r="E2234" s="11">
        <v>2000</v>
      </c>
      <c r="F2234" s="3" t="s">
        <v>8</v>
      </c>
      <c r="G2234" s="46">
        <v>7</v>
      </c>
      <c r="H2234" s="3">
        <v>8.5</v>
      </c>
      <c r="I2234" s="46">
        <v>0</v>
      </c>
      <c r="J2234" s="55">
        <v>0</v>
      </c>
      <c r="K2234" s="1">
        <f t="shared" ref="K2234" si="3179">(IF(F2234="SELL",G2234-H2234,IF(F2234="BUY",H2234-G2234)))*E2234</f>
        <v>3000</v>
      </c>
      <c r="L2234" s="51">
        <v>0</v>
      </c>
      <c r="M2234" s="52">
        <v>0</v>
      </c>
      <c r="N2234" s="2">
        <f t="shared" si="3132"/>
        <v>1.5</v>
      </c>
      <c r="O2234" s="2">
        <f t="shared" si="3149"/>
        <v>3000</v>
      </c>
      <c r="P2234" s="13"/>
      <c r="Q2234" s="13"/>
      <c r="R2234" s="13"/>
      <c r="S2234" s="13"/>
      <c r="T2234" s="13"/>
      <c r="U2234" s="13"/>
      <c r="V2234" s="13"/>
      <c r="W2234" s="13"/>
      <c r="X2234" s="13"/>
      <c r="Y2234" s="13"/>
      <c r="Z2234" s="13"/>
      <c r="AA2234" s="13"/>
      <c r="AB2234" s="13"/>
      <c r="AC2234" s="13"/>
      <c r="AD2234" s="13"/>
      <c r="AE2234" s="13"/>
      <c r="AF2234" s="13"/>
      <c r="AG2234" s="13"/>
    </row>
    <row r="2235" spans="1:33" s="14" customFormat="1" ht="15" customHeight="1">
      <c r="A2235" s="10">
        <v>43026</v>
      </c>
      <c r="B2235" s="3" t="s">
        <v>181</v>
      </c>
      <c r="C2235" s="15" t="s">
        <v>47</v>
      </c>
      <c r="D2235" s="15">
        <v>1360</v>
      </c>
      <c r="E2235" s="11">
        <v>800</v>
      </c>
      <c r="F2235" s="3" t="s">
        <v>8</v>
      </c>
      <c r="G2235" s="46">
        <v>20</v>
      </c>
      <c r="H2235" s="3">
        <v>23</v>
      </c>
      <c r="I2235" s="46">
        <v>0</v>
      </c>
      <c r="J2235" s="55">
        <v>0</v>
      </c>
      <c r="K2235" s="1">
        <f t="shared" ref="K2235" si="3180">(IF(F2235="SELL",G2235-H2235,IF(F2235="BUY",H2235-G2235)))*E2235</f>
        <v>2400</v>
      </c>
      <c r="L2235" s="51">
        <v>0</v>
      </c>
      <c r="M2235" s="52">
        <v>0</v>
      </c>
      <c r="N2235" s="2">
        <f t="shared" si="3132"/>
        <v>3</v>
      </c>
      <c r="O2235" s="2">
        <f t="shared" si="3149"/>
        <v>2400</v>
      </c>
      <c r="P2235" s="13"/>
      <c r="Q2235" s="13"/>
      <c r="R2235" s="13"/>
      <c r="S2235" s="13"/>
      <c r="T2235" s="13"/>
      <c r="U2235" s="13"/>
      <c r="V2235" s="13"/>
      <c r="W2235" s="13"/>
      <c r="X2235" s="13"/>
      <c r="Y2235" s="13"/>
      <c r="Z2235" s="13"/>
      <c r="AA2235" s="13"/>
      <c r="AB2235" s="13"/>
      <c r="AC2235" s="13"/>
      <c r="AD2235" s="13"/>
      <c r="AE2235" s="13"/>
      <c r="AF2235" s="13"/>
      <c r="AG2235" s="13"/>
    </row>
    <row r="2236" spans="1:33" s="14" customFormat="1" ht="15" customHeight="1">
      <c r="A2236" s="10">
        <v>43026</v>
      </c>
      <c r="B2236" s="3" t="s">
        <v>212</v>
      </c>
      <c r="C2236" s="15" t="s">
        <v>47</v>
      </c>
      <c r="D2236" s="15">
        <v>170</v>
      </c>
      <c r="E2236" s="11">
        <v>4950</v>
      </c>
      <c r="F2236" s="3" t="s">
        <v>8</v>
      </c>
      <c r="G2236" s="46">
        <v>3.9</v>
      </c>
      <c r="H2236" s="3">
        <v>4.5</v>
      </c>
      <c r="I2236" s="46">
        <v>0</v>
      </c>
      <c r="J2236" s="55">
        <v>0</v>
      </c>
      <c r="K2236" s="1">
        <f t="shared" ref="K2236" si="3181">(IF(F2236="SELL",G2236-H2236,IF(F2236="BUY",H2236-G2236)))*E2236</f>
        <v>2970.0000000000005</v>
      </c>
      <c r="L2236" s="51">
        <v>0</v>
      </c>
      <c r="M2236" s="52">
        <v>0</v>
      </c>
      <c r="N2236" s="2">
        <f t="shared" si="3132"/>
        <v>0.60000000000000009</v>
      </c>
      <c r="O2236" s="2">
        <f t="shared" si="3149"/>
        <v>2970.0000000000005</v>
      </c>
      <c r="P2236" s="13"/>
      <c r="Q2236" s="13"/>
      <c r="R2236" s="13"/>
      <c r="S2236" s="13"/>
      <c r="T2236" s="13"/>
      <c r="U2236" s="13"/>
      <c r="V2236" s="13"/>
      <c r="W2236" s="13"/>
      <c r="X2236" s="13"/>
      <c r="Y2236" s="13"/>
      <c r="Z2236" s="13"/>
      <c r="AA2236" s="13"/>
      <c r="AB2236" s="13"/>
      <c r="AC2236" s="13"/>
      <c r="AD2236" s="13"/>
      <c r="AE2236" s="13"/>
      <c r="AF2236" s="13"/>
      <c r="AG2236" s="13"/>
    </row>
    <row r="2237" spans="1:33" s="14" customFormat="1" ht="15" customHeight="1">
      <c r="A2237" s="10">
        <v>43025</v>
      </c>
      <c r="B2237" s="3" t="s">
        <v>154</v>
      </c>
      <c r="C2237" s="15" t="s">
        <v>47</v>
      </c>
      <c r="D2237" s="15">
        <v>510</v>
      </c>
      <c r="E2237" s="11">
        <v>1800</v>
      </c>
      <c r="F2237" s="3" t="s">
        <v>8</v>
      </c>
      <c r="G2237" s="46">
        <v>8.65</v>
      </c>
      <c r="H2237" s="3">
        <v>9.65</v>
      </c>
      <c r="I2237" s="46">
        <v>11</v>
      </c>
      <c r="J2237" s="55">
        <v>0</v>
      </c>
      <c r="K2237" s="1">
        <f t="shared" ref="K2237" si="3182">(IF(F2237="SELL",G2237-H2237,IF(F2237="BUY",H2237-G2237)))*E2237</f>
        <v>1800</v>
      </c>
      <c r="L2237" s="51">
        <f t="shared" ref="L2237" si="3183">(IF(F2237="SELL",IF(I2237="",0,H2237-I2237),IF(F2237="BUY",IF(I2237="",0,I2237-H2237))))*E2237</f>
        <v>2429.9999999999995</v>
      </c>
      <c r="M2237" s="52">
        <v>0</v>
      </c>
      <c r="N2237" s="2">
        <f t="shared" si="3132"/>
        <v>2.35</v>
      </c>
      <c r="O2237" s="2">
        <f t="shared" si="3149"/>
        <v>4230</v>
      </c>
      <c r="P2237" s="13"/>
      <c r="Q2237" s="13"/>
      <c r="R2237" s="13"/>
      <c r="S2237" s="13"/>
      <c r="T2237" s="13"/>
      <c r="U2237" s="13"/>
      <c r="V2237" s="13"/>
      <c r="W2237" s="13"/>
      <c r="X2237" s="13"/>
      <c r="Y2237" s="13"/>
      <c r="Z2237" s="13"/>
      <c r="AA2237" s="13"/>
      <c r="AB2237" s="13"/>
      <c r="AC2237" s="13"/>
      <c r="AD2237" s="13"/>
      <c r="AE2237" s="13"/>
      <c r="AF2237" s="13"/>
      <c r="AG2237" s="13"/>
    </row>
    <row r="2238" spans="1:33" s="14" customFormat="1" ht="15" customHeight="1">
      <c r="A2238" s="10">
        <v>43025</v>
      </c>
      <c r="B2238" s="3" t="s">
        <v>172</v>
      </c>
      <c r="C2238" s="15" t="s">
        <v>47</v>
      </c>
      <c r="D2238" s="15">
        <v>470</v>
      </c>
      <c r="E2238" s="11">
        <v>1575</v>
      </c>
      <c r="F2238" s="3" t="s">
        <v>8</v>
      </c>
      <c r="G2238" s="46">
        <v>10</v>
      </c>
      <c r="H2238" s="3">
        <v>11</v>
      </c>
      <c r="I2238" s="46">
        <v>12</v>
      </c>
      <c r="J2238" s="55">
        <v>0</v>
      </c>
      <c r="K2238" s="1">
        <f t="shared" ref="K2238" si="3184">(IF(F2238="SELL",G2238-H2238,IF(F2238="BUY",H2238-G2238)))*E2238</f>
        <v>1575</v>
      </c>
      <c r="L2238" s="51">
        <f t="shared" ref="L2238" si="3185">(IF(F2238="SELL",IF(I2238="",0,H2238-I2238),IF(F2238="BUY",IF(I2238="",0,I2238-H2238))))*E2238</f>
        <v>1575</v>
      </c>
      <c r="M2238" s="52">
        <v>0</v>
      </c>
      <c r="N2238" s="2">
        <f t="shared" si="3132"/>
        <v>2</v>
      </c>
      <c r="O2238" s="2">
        <f t="shared" si="3149"/>
        <v>3150</v>
      </c>
      <c r="P2238" s="13"/>
      <c r="Q2238" s="13"/>
      <c r="R2238" s="13"/>
      <c r="S2238" s="13"/>
      <c r="T2238" s="13"/>
      <c r="U2238" s="13"/>
      <c r="V2238" s="13"/>
      <c r="W2238" s="13"/>
      <c r="X2238" s="13"/>
      <c r="Y2238" s="13"/>
      <c r="Z2238" s="13"/>
      <c r="AA2238" s="13"/>
      <c r="AB2238" s="13"/>
      <c r="AC2238" s="13"/>
      <c r="AD2238" s="13"/>
      <c r="AE2238" s="13"/>
      <c r="AF2238" s="13"/>
      <c r="AG2238" s="13"/>
    </row>
    <row r="2239" spans="1:33" s="14" customFormat="1" ht="15" customHeight="1">
      <c r="A2239" s="10">
        <v>43025</v>
      </c>
      <c r="B2239" s="3" t="s">
        <v>151</v>
      </c>
      <c r="C2239" s="15" t="s">
        <v>47</v>
      </c>
      <c r="D2239" s="15">
        <v>680</v>
      </c>
      <c r="E2239" s="11">
        <v>1100</v>
      </c>
      <c r="F2239" s="3" t="s">
        <v>8</v>
      </c>
      <c r="G2239" s="46">
        <v>6.6</v>
      </c>
      <c r="H2239" s="3">
        <v>8</v>
      </c>
      <c r="I2239" s="46">
        <v>0</v>
      </c>
      <c r="J2239" s="55">
        <v>0</v>
      </c>
      <c r="K2239" s="1">
        <f t="shared" ref="K2239" si="3186">(IF(F2239="SELL",G2239-H2239,IF(F2239="BUY",H2239-G2239)))*E2239</f>
        <v>1540.0000000000005</v>
      </c>
      <c r="L2239" s="51">
        <v>0</v>
      </c>
      <c r="M2239" s="52">
        <v>0</v>
      </c>
      <c r="N2239" s="2">
        <f t="shared" si="3132"/>
        <v>1.4000000000000004</v>
      </c>
      <c r="O2239" s="2">
        <f t="shared" si="3149"/>
        <v>1540.0000000000005</v>
      </c>
      <c r="P2239" s="13"/>
      <c r="Q2239" s="13"/>
      <c r="R2239" s="13"/>
      <c r="S2239" s="13"/>
      <c r="T2239" s="13"/>
      <c r="U2239" s="13"/>
      <c r="V2239" s="13"/>
      <c r="W2239" s="13"/>
      <c r="X2239" s="13"/>
      <c r="Y2239" s="13"/>
      <c r="Z2239" s="13"/>
      <c r="AA2239" s="13"/>
      <c r="AB2239" s="13"/>
      <c r="AC2239" s="13"/>
      <c r="AD2239" s="13"/>
      <c r="AE2239" s="13"/>
      <c r="AF2239" s="13"/>
      <c r="AG2239" s="13"/>
    </row>
    <row r="2240" spans="1:33" s="14" customFormat="1" ht="15" customHeight="1">
      <c r="A2240" s="10">
        <v>43024</v>
      </c>
      <c r="B2240" s="3" t="s">
        <v>152</v>
      </c>
      <c r="C2240" s="15" t="s">
        <v>47</v>
      </c>
      <c r="D2240" s="15">
        <v>1960</v>
      </c>
      <c r="E2240" s="11">
        <v>500</v>
      </c>
      <c r="F2240" s="3" t="s">
        <v>8</v>
      </c>
      <c r="G2240" s="46">
        <v>45</v>
      </c>
      <c r="H2240" s="3">
        <v>35</v>
      </c>
      <c r="I2240" s="46">
        <v>0</v>
      </c>
      <c r="J2240" s="55">
        <v>0</v>
      </c>
      <c r="K2240" s="1">
        <f t="shared" ref="K2240" si="3187">(IF(F2240="SELL",G2240-H2240,IF(F2240="BUY",H2240-G2240)))*E2240</f>
        <v>-5000</v>
      </c>
      <c r="L2240" s="51">
        <v>0</v>
      </c>
      <c r="M2240" s="52">
        <v>0</v>
      </c>
      <c r="N2240" s="2">
        <f t="shared" si="3132"/>
        <v>-10</v>
      </c>
      <c r="O2240" s="2">
        <f t="shared" si="3149"/>
        <v>-5000</v>
      </c>
      <c r="P2240" s="13"/>
      <c r="Q2240" s="13"/>
      <c r="R2240" s="13"/>
      <c r="S2240" s="13"/>
      <c r="T2240" s="13"/>
      <c r="U2240" s="13"/>
      <c r="V2240" s="13"/>
      <c r="W2240" s="13"/>
      <c r="X2240" s="13"/>
      <c r="Y2240" s="13"/>
      <c r="Z2240" s="13"/>
      <c r="AA2240" s="13"/>
      <c r="AB2240" s="13"/>
      <c r="AC2240" s="13"/>
      <c r="AD2240" s="13"/>
      <c r="AE2240" s="13"/>
      <c r="AF2240" s="13"/>
      <c r="AG2240" s="13"/>
    </row>
    <row r="2241" spans="1:33" s="14" customFormat="1" ht="15" customHeight="1">
      <c r="A2241" s="10">
        <v>43024</v>
      </c>
      <c r="B2241" s="3" t="s">
        <v>206</v>
      </c>
      <c r="C2241" s="15" t="s">
        <v>47</v>
      </c>
      <c r="D2241" s="15">
        <v>650</v>
      </c>
      <c r="E2241" s="11">
        <v>1500</v>
      </c>
      <c r="F2241" s="3" t="s">
        <v>8</v>
      </c>
      <c r="G2241" s="46">
        <v>7.1</v>
      </c>
      <c r="H2241" s="3">
        <v>8.5</v>
      </c>
      <c r="I2241" s="46">
        <v>0</v>
      </c>
      <c r="J2241" s="55">
        <v>0</v>
      </c>
      <c r="K2241" s="1">
        <f t="shared" ref="K2241" si="3188">(IF(F2241="SELL",G2241-H2241,IF(F2241="BUY",H2241-G2241)))*E2241</f>
        <v>2100.0000000000005</v>
      </c>
      <c r="L2241" s="51">
        <v>0</v>
      </c>
      <c r="M2241" s="52">
        <v>0</v>
      </c>
      <c r="N2241" s="2">
        <f t="shared" si="3132"/>
        <v>1.4000000000000004</v>
      </c>
      <c r="O2241" s="2">
        <f t="shared" si="3149"/>
        <v>2100.0000000000005</v>
      </c>
      <c r="P2241" s="13"/>
      <c r="Q2241" s="13"/>
      <c r="R2241" s="13"/>
      <c r="S2241" s="13"/>
      <c r="T2241" s="13"/>
      <c r="U2241" s="13"/>
      <c r="V2241" s="13"/>
      <c r="W2241" s="13"/>
      <c r="X2241" s="13"/>
      <c r="Y2241" s="13"/>
      <c r="Z2241" s="13"/>
      <c r="AA2241" s="13"/>
      <c r="AB2241" s="13"/>
      <c r="AC2241" s="13"/>
      <c r="AD2241" s="13"/>
      <c r="AE2241" s="13"/>
      <c r="AF2241" s="13"/>
      <c r="AG2241" s="13"/>
    </row>
    <row r="2242" spans="1:33" s="14" customFormat="1" ht="15" customHeight="1">
      <c r="A2242" s="10">
        <v>43021</v>
      </c>
      <c r="B2242" s="3" t="s">
        <v>58</v>
      </c>
      <c r="C2242" s="15" t="s">
        <v>46</v>
      </c>
      <c r="D2242" s="15">
        <v>530</v>
      </c>
      <c r="E2242" s="11">
        <v>2000</v>
      </c>
      <c r="F2242" s="3" t="s">
        <v>8</v>
      </c>
      <c r="G2242" s="46">
        <v>8.8000000000000007</v>
      </c>
      <c r="H2242" s="3">
        <v>9.6</v>
      </c>
      <c r="I2242" s="46">
        <v>0</v>
      </c>
      <c r="J2242" s="55">
        <v>0</v>
      </c>
      <c r="K2242" s="1">
        <f t="shared" ref="K2242" si="3189">(IF(F2242="SELL",G2242-H2242,IF(F2242="BUY",H2242-G2242)))*E2242</f>
        <v>1599.999999999998</v>
      </c>
      <c r="L2242" s="51">
        <v>0</v>
      </c>
      <c r="M2242" s="52">
        <v>0</v>
      </c>
      <c r="N2242" s="2">
        <f t="shared" si="3132"/>
        <v>0.79999999999999893</v>
      </c>
      <c r="O2242" s="2">
        <f t="shared" si="3149"/>
        <v>1599.999999999998</v>
      </c>
      <c r="P2242" s="13"/>
      <c r="Q2242" s="13"/>
      <c r="R2242" s="13"/>
      <c r="S2242" s="13"/>
      <c r="T2242" s="13"/>
      <c r="U2242" s="13"/>
      <c r="V2242" s="13"/>
      <c r="W2242" s="13"/>
      <c r="X2242" s="13"/>
      <c r="Y2242" s="13"/>
      <c r="Z2242" s="13"/>
      <c r="AA2242" s="13"/>
      <c r="AB2242" s="13"/>
      <c r="AC2242" s="13"/>
      <c r="AD2242" s="13"/>
      <c r="AE2242" s="13"/>
      <c r="AF2242" s="13"/>
      <c r="AG2242" s="13"/>
    </row>
    <row r="2243" spans="1:33" s="14" customFormat="1" ht="15" customHeight="1">
      <c r="A2243" s="10">
        <v>43021</v>
      </c>
      <c r="B2243" s="3" t="s">
        <v>91</v>
      </c>
      <c r="C2243" s="15" t="s">
        <v>46</v>
      </c>
      <c r="D2243" s="15">
        <v>250</v>
      </c>
      <c r="E2243" s="11">
        <v>3000</v>
      </c>
      <c r="F2243" s="3" t="s">
        <v>8</v>
      </c>
      <c r="G2243" s="46">
        <v>4.9000000000000004</v>
      </c>
      <c r="H2243" s="3">
        <v>5.5</v>
      </c>
      <c r="I2243" s="46">
        <v>0</v>
      </c>
      <c r="J2243" s="55">
        <v>0</v>
      </c>
      <c r="K2243" s="1">
        <f t="shared" ref="K2243" si="3190">(IF(F2243="SELL",G2243-H2243,IF(F2243="BUY",H2243-G2243)))*E2243</f>
        <v>1799.9999999999989</v>
      </c>
      <c r="L2243" s="51">
        <v>0</v>
      </c>
      <c r="M2243" s="52">
        <v>0</v>
      </c>
      <c r="N2243" s="2">
        <f t="shared" si="3132"/>
        <v>0.59999999999999964</v>
      </c>
      <c r="O2243" s="2">
        <f t="shared" si="3149"/>
        <v>1799.9999999999989</v>
      </c>
      <c r="P2243" s="13"/>
      <c r="Q2243" s="13"/>
      <c r="R2243" s="13"/>
      <c r="S2243" s="13"/>
      <c r="T2243" s="13"/>
      <c r="U2243" s="13"/>
      <c r="V2243" s="13"/>
      <c r="W2243" s="13"/>
      <c r="X2243" s="13"/>
      <c r="Y2243" s="13"/>
      <c r="Z2243" s="13"/>
      <c r="AA2243" s="13"/>
      <c r="AB2243" s="13"/>
      <c r="AC2243" s="13"/>
      <c r="AD2243" s="13"/>
      <c r="AE2243" s="13"/>
      <c r="AF2243" s="13"/>
      <c r="AG2243" s="13"/>
    </row>
    <row r="2244" spans="1:33" s="14" customFormat="1" ht="15" customHeight="1">
      <c r="A2244" s="10">
        <v>43021</v>
      </c>
      <c r="B2244" s="3" t="s">
        <v>211</v>
      </c>
      <c r="C2244" s="15" t="s">
        <v>47</v>
      </c>
      <c r="D2244" s="15">
        <v>630</v>
      </c>
      <c r="E2244" s="11">
        <v>1500</v>
      </c>
      <c r="F2244" s="3" t="s">
        <v>8</v>
      </c>
      <c r="G2244" s="46">
        <v>18</v>
      </c>
      <c r="H2244" s="3">
        <v>19</v>
      </c>
      <c r="I2244" s="46">
        <v>0</v>
      </c>
      <c r="J2244" s="55">
        <v>0</v>
      </c>
      <c r="K2244" s="1">
        <v>1500</v>
      </c>
      <c r="L2244" s="51">
        <v>0</v>
      </c>
      <c r="M2244" s="52">
        <f>(IF(F2244="SELL",IF(J2244="",0,I2244-J2244),IF(F2244="BUY",IF(J2244="",0,(J2244-I2244)))))*E2244</f>
        <v>0</v>
      </c>
      <c r="N2244" s="2">
        <f t="shared" si="3132"/>
        <v>1</v>
      </c>
      <c r="O2244" s="2">
        <f t="shared" si="3149"/>
        <v>1500</v>
      </c>
      <c r="P2244" s="13"/>
      <c r="Q2244" s="13"/>
      <c r="R2244" s="13"/>
      <c r="S2244" s="13"/>
      <c r="T2244" s="13"/>
      <c r="U2244" s="13"/>
      <c r="V2244" s="13"/>
      <c r="W2244" s="13"/>
      <c r="X2244" s="13"/>
      <c r="Y2244" s="13"/>
      <c r="Z2244" s="13"/>
      <c r="AA2244" s="13"/>
      <c r="AB2244" s="13"/>
      <c r="AC2244" s="13"/>
      <c r="AD2244" s="13"/>
      <c r="AE2244" s="13"/>
      <c r="AF2244" s="13"/>
      <c r="AG2244" s="13"/>
    </row>
    <row r="2245" spans="1:33" s="14" customFormat="1" ht="15" customHeight="1">
      <c r="A2245" s="10">
        <v>43021</v>
      </c>
      <c r="B2245" s="3" t="s">
        <v>210</v>
      </c>
      <c r="C2245" s="15" t="s">
        <v>47</v>
      </c>
      <c r="D2245" s="15">
        <v>2750</v>
      </c>
      <c r="E2245" s="11">
        <v>2750</v>
      </c>
      <c r="F2245" s="3" t="s">
        <v>8</v>
      </c>
      <c r="G2245" s="46">
        <v>4.2</v>
      </c>
      <c r="H2245" s="3">
        <v>4.7</v>
      </c>
      <c r="I2245" s="46">
        <v>5.5</v>
      </c>
      <c r="J2245" s="55">
        <v>0</v>
      </c>
      <c r="K2245" s="1">
        <v>1350</v>
      </c>
      <c r="L2245" s="51">
        <v>1925</v>
      </c>
      <c r="M2245" s="52">
        <v>0</v>
      </c>
      <c r="N2245" s="2">
        <f t="shared" si="3132"/>
        <v>1.1909090909090909</v>
      </c>
      <c r="O2245" s="2">
        <f t="shared" si="3149"/>
        <v>3275</v>
      </c>
      <c r="P2245" s="13"/>
      <c r="Q2245" s="13"/>
      <c r="R2245" s="13"/>
      <c r="S2245" s="13"/>
      <c r="T2245" s="13"/>
      <c r="U2245" s="13"/>
      <c r="V2245" s="13"/>
      <c r="W2245" s="13"/>
      <c r="X2245" s="13"/>
      <c r="Y2245" s="13"/>
      <c r="Z2245" s="13"/>
      <c r="AA2245" s="13"/>
      <c r="AB2245" s="13"/>
      <c r="AC2245" s="13"/>
      <c r="AD2245" s="13"/>
      <c r="AE2245" s="13"/>
      <c r="AF2245" s="13"/>
      <c r="AG2245" s="13"/>
    </row>
    <row r="2246" spans="1:33" s="14" customFormat="1" ht="15" customHeight="1">
      <c r="A2246" s="10">
        <v>43020</v>
      </c>
      <c r="B2246" s="3" t="s">
        <v>206</v>
      </c>
      <c r="C2246" s="15" t="s">
        <v>47</v>
      </c>
      <c r="D2246" s="15">
        <v>620</v>
      </c>
      <c r="E2246" s="11">
        <v>1500</v>
      </c>
      <c r="F2246" s="3" t="s">
        <v>8</v>
      </c>
      <c r="G2246" s="46">
        <v>15</v>
      </c>
      <c r="H2246" s="3">
        <v>0</v>
      </c>
      <c r="I2246" s="46">
        <v>0</v>
      </c>
      <c r="J2246" s="55">
        <v>0</v>
      </c>
      <c r="K2246" s="1">
        <v>0</v>
      </c>
      <c r="L2246" s="51">
        <v>0</v>
      </c>
      <c r="M2246" s="52">
        <f t="shared" ref="M2246:M2251" si="3191">(IF(F2246="SELL",IF(J2246="",0,I2246-J2246),IF(F2246="BUY",IF(J2246="",0,(J2246-I2246)))))*E2246</f>
        <v>0</v>
      </c>
      <c r="N2246" s="2">
        <f t="shared" si="3132"/>
        <v>0</v>
      </c>
      <c r="O2246" s="2">
        <f t="shared" si="3149"/>
        <v>0</v>
      </c>
      <c r="P2246" s="13"/>
      <c r="Q2246" s="13"/>
      <c r="R2246" s="13"/>
      <c r="S2246" s="13"/>
      <c r="T2246" s="13"/>
      <c r="U2246" s="13"/>
      <c r="V2246" s="13"/>
      <c r="W2246" s="13"/>
      <c r="X2246" s="13"/>
      <c r="Y2246" s="13"/>
      <c r="Z2246" s="13"/>
      <c r="AA2246" s="13"/>
      <c r="AB2246" s="13"/>
      <c r="AC2246" s="13"/>
      <c r="AD2246" s="13"/>
      <c r="AE2246" s="13"/>
      <c r="AF2246" s="13"/>
      <c r="AG2246" s="13"/>
    </row>
    <row r="2247" spans="1:33" s="14" customFormat="1" ht="15" customHeight="1">
      <c r="A2247" s="10">
        <v>43020</v>
      </c>
      <c r="B2247" s="3" t="s">
        <v>96</v>
      </c>
      <c r="C2247" s="15" t="s">
        <v>47</v>
      </c>
      <c r="D2247" s="15">
        <v>1340</v>
      </c>
      <c r="E2247" s="11">
        <v>500</v>
      </c>
      <c r="F2247" s="3" t="s">
        <v>8</v>
      </c>
      <c r="G2247" s="46">
        <v>16</v>
      </c>
      <c r="H2247" s="3">
        <v>20</v>
      </c>
      <c r="I2247" s="46">
        <v>0</v>
      </c>
      <c r="J2247" s="55">
        <v>0</v>
      </c>
      <c r="K2247" s="1">
        <f t="shared" ref="K2247" si="3192">(IF(F2247="SELL",G2247-H2247,IF(F2247="BUY",H2247-G2247)))*E2247</f>
        <v>2000</v>
      </c>
      <c r="L2247" s="51">
        <v>0</v>
      </c>
      <c r="M2247" s="52">
        <f t="shared" si="3191"/>
        <v>0</v>
      </c>
      <c r="N2247" s="2">
        <f t="shared" si="3132"/>
        <v>4</v>
      </c>
      <c r="O2247" s="2">
        <f t="shared" si="3149"/>
        <v>2000</v>
      </c>
      <c r="P2247" s="13"/>
      <c r="Q2247" s="13"/>
      <c r="R2247" s="13"/>
      <c r="S2247" s="13"/>
      <c r="T2247" s="13"/>
      <c r="U2247" s="13"/>
      <c r="V2247" s="13"/>
      <c r="W2247" s="13"/>
      <c r="X2247" s="13"/>
      <c r="Y2247" s="13"/>
      <c r="Z2247" s="13"/>
      <c r="AA2247" s="13"/>
      <c r="AB2247" s="13"/>
      <c r="AC2247" s="13"/>
      <c r="AD2247" s="13"/>
      <c r="AE2247" s="13"/>
      <c r="AF2247" s="13"/>
      <c r="AG2247" s="13"/>
    </row>
    <row r="2248" spans="1:33" s="14" customFormat="1" ht="15" customHeight="1">
      <c r="A2248" s="10">
        <v>43019</v>
      </c>
      <c r="B2248" s="3" t="s">
        <v>139</v>
      </c>
      <c r="C2248" s="15" t="s">
        <v>47</v>
      </c>
      <c r="D2248" s="15">
        <v>1580</v>
      </c>
      <c r="E2248" s="11">
        <v>500</v>
      </c>
      <c r="F2248" s="3" t="s">
        <v>8</v>
      </c>
      <c r="G2248" s="46">
        <v>40.5</v>
      </c>
      <c r="H2248" s="3">
        <v>33</v>
      </c>
      <c r="I2248" s="46">
        <v>0</v>
      </c>
      <c r="J2248" s="55">
        <v>0</v>
      </c>
      <c r="K2248" s="1">
        <f t="shared" ref="K2248" si="3193">(IF(F2248="SELL",G2248-H2248,IF(F2248="BUY",H2248-G2248)))*E2248</f>
        <v>-3750</v>
      </c>
      <c r="L2248" s="51">
        <v>0</v>
      </c>
      <c r="M2248" s="52">
        <f t="shared" si="3191"/>
        <v>0</v>
      </c>
      <c r="N2248" s="2">
        <f t="shared" si="3132"/>
        <v>-7.5</v>
      </c>
      <c r="O2248" s="2">
        <f t="shared" si="3149"/>
        <v>-3750</v>
      </c>
      <c r="P2248" s="13"/>
      <c r="Q2248" s="13"/>
      <c r="R2248" s="13"/>
      <c r="S2248" s="13"/>
      <c r="T2248" s="13"/>
      <c r="U2248" s="13"/>
      <c r="V2248" s="13"/>
      <c r="W2248" s="13"/>
      <c r="X2248" s="13"/>
      <c r="Y2248" s="13"/>
      <c r="Z2248" s="13"/>
      <c r="AA2248" s="13"/>
      <c r="AB2248" s="13"/>
      <c r="AC2248" s="13"/>
      <c r="AD2248" s="13"/>
      <c r="AE2248" s="13"/>
      <c r="AF2248" s="13"/>
      <c r="AG2248" s="13"/>
    </row>
    <row r="2249" spans="1:33" s="14" customFormat="1" ht="15" customHeight="1">
      <c r="A2249" s="10">
        <v>43019</v>
      </c>
      <c r="B2249" s="3" t="s">
        <v>209</v>
      </c>
      <c r="C2249" s="15" t="s">
        <v>47</v>
      </c>
      <c r="D2249" s="15">
        <v>520</v>
      </c>
      <c r="E2249" s="11">
        <v>1200</v>
      </c>
      <c r="F2249" s="3" t="s">
        <v>8</v>
      </c>
      <c r="G2249" s="46">
        <v>17.5</v>
      </c>
      <c r="H2249" s="3">
        <v>19</v>
      </c>
      <c r="I2249" s="46">
        <v>0</v>
      </c>
      <c r="J2249" s="55">
        <v>0</v>
      </c>
      <c r="K2249" s="1">
        <f t="shared" ref="K2249" si="3194">(IF(F2249="SELL",G2249-H2249,IF(F2249="BUY",H2249-G2249)))*E2249</f>
        <v>1800</v>
      </c>
      <c r="L2249" s="51">
        <v>0</v>
      </c>
      <c r="M2249" s="52">
        <f t="shared" si="3191"/>
        <v>0</v>
      </c>
      <c r="N2249" s="2">
        <f t="shared" si="3132"/>
        <v>1.5</v>
      </c>
      <c r="O2249" s="2">
        <f t="shared" si="3149"/>
        <v>1800</v>
      </c>
      <c r="P2249" s="13"/>
      <c r="Q2249" s="13"/>
      <c r="R2249" s="13"/>
      <c r="S2249" s="13"/>
      <c r="T2249" s="13"/>
      <c r="U2249" s="13"/>
      <c r="V2249" s="13"/>
      <c r="W2249" s="13"/>
      <c r="X2249" s="13"/>
      <c r="Y2249" s="13"/>
      <c r="Z2249" s="13"/>
      <c r="AA2249" s="13"/>
      <c r="AB2249" s="13"/>
      <c r="AC2249" s="13"/>
      <c r="AD2249" s="13"/>
      <c r="AE2249" s="13"/>
      <c r="AF2249" s="13"/>
      <c r="AG2249" s="13"/>
    </row>
    <row r="2250" spans="1:33" s="14" customFormat="1" ht="15" customHeight="1">
      <c r="A2250" s="10">
        <v>43018</v>
      </c>
      <c r="B2250" s="3" t="s">
        <v>66</v>
      </c>
      <c r="C2250" s="15" t="s">
        <v>47</v>
      </c>
      <c r="D2250" s="15">
        <v>520</v>
      </c>
      <c r="E2250" s="11">
        <v>1200</v>
      </c>
      <c r="F2250" s="3" t="s">
        <v>8</v>
      </c>
      <c r="G2250" s="46">
        <v>17.5</v>
      </c>
      <c r="H2250" s="3">
        <v>19</v>
      </c>
      <c r="I2250" s="46">
        <v>0</v>
      </c>
      <c r="J2250" s="55">
        <v>0</v>
      </c>
      <c r="K2250" s="1">
        <f t="shared" ref="K2250" si="3195">(IF(F2250="SELL",G2250-H2250,IF(F2250="BUY",H2250-G2250)))*E2250</f>
        <v>1800</v>
      </c>
      <c r="L2250" s="51">
        <v>0</v>
      </c>
      <c r="M2250" s="52">
        <f t="shared" si="3191"/>
        <v>0</v>
      </c>
      <c r="N2250" s="2">
        <f t="shared" si="3132"/>
        <v>1.5</v>
      </c>
      <c r="O2250" s="2">
        <f t="shared" si="3149"/>
        <v>1800</v>
      </c>
      <c r="P2250" s="13"/>
      <c r="Q2250" s="13"/>
      <c r="R2250" s="13"/>
      <c r="S2250" s="13"/>
      <c r="T2250" s="13"/>
      <c r="U2250" s="13"/>
      <c r="V2250" s="13"/>
      <c r="W2250" s="13"/>
      <c r="X2250" s="13"/>
      <c r="Y2250" s="13"/>
      <c r="Z2250" s="13"/>
      <c r="AA2250" s="13"/>
      <c r="AB2250" s="13"/>
      <c r="AC2250" s="13"/>
      <c r="AD2250" s="13"/>
      <c r="AE2250" s="13"/>
      <c r="AF2250" s="13"/>
      <c r="AG2250" s="13"/>
    </row>
    <row r="2251" spans="1:33" s="14" customFormat="1" ht="15" customHeight="1">
      <c r="A2251" s="10">
        <v>43018</v>
      </c>
      <c r="B2251" s="3" t="s">
        <v>208</v>
      </c>
      <c r="C2251" s="15" t="s">
        <v>47</v>
      </c>
      <c r="D2251" s="15">
        <v>520</v>
      </c>
      <c r="E2251" s="11">
        <v>2000</v>
      </c>
      <c r="F2251" s="3" t="s">
        <v>8</v>
      </c>
      <c r="G2251" s="46">
        <v>26</v>
      </c>
      <c r="H2251" s="3">
        <v>0</v>
      </c>
      <c r="I2251" s="46">
        <v>0</v>
      </c>
      <c r="J2251" s="55">
        <v>0</v>
      </c>
      <c r="K2251" s="1">
        <v>0</v>
      </c>
      <c r="L2251" s="51">
        <f t="shared" ref="L2251" si="3196">(IF(F2251="SELL",IF(I2251="",0,H2251-I2251),IF(F2251="BUY",IF(I2251="",0,I2251-H2251))))*E2251</f>
        <v>0</v>
      </c>
      <c r="M2251" s="52">
        <f t="shared" si="3191"/>
        <v>0</v>
      </c>
      <c r="N2251" s="2">
        <v>0</v>
      </c>
      <c r="O2251" s="2">
        <f t="shared" si="3149"/>
        <v>0</v>
      </c>
      <c r="P2251" s="13"/>
      <c r="Q2251" s="13"/>
      <c r="R2251" s="13"/>
      <c r="S2251" s="13"/>
      <c r="T2251" s="13"/>
      <c r="U2251" s="13"/>
      <c r="V2251" s="13"/>
      <c r="W2251" s="13"/>
      <c r="X2251" s="13"/>
      <c r="Y2251" s="13"/>
      <c r="Z2251" s="13"/>
      <c r="AA2251" s="13"/>
      <c r="AB2251" s="13"/>
      <c r="AC2251" s="13"/>
      <c r="AD2251" s="13"/>
      <c r="AE2251" s="13"/>
      <c r="AF2251" s="13"/>
      <c r="AG2251" s="13"/>
    </row>
    <row r="2252" spans="1:33" s="14" customFormat="1" ht="15" customHeight="1">
      <c r="A2252" s="10">
        <v>43017</v>
      </c>
      <c r="B2252" s="3" t="s">
        <v>206</v>
      </c>
      <c r="C2252" s="15" t="s">
        <v>47</v>
      </c>
      <c r="D2252" s="15">
        <v>620</v>
      </c>
      <c r="E2252" s="11">
        <v>1500</v>
      </c>
      <c r="F2252" s="3" t="s">
        <v>8</v>
      </c>
      <c r="G2252" s="46">
        <v>9</v>
      </c>
      <c r="H2252" s="3">
        <v>10.4</v>
      </c>
      <c r="I2252" s="46">
        <v>0</v>
      </c>
      <c r="J2252" s="55">
        <v>0</v>
      </c>
      <c r="K2252" s="1">
        <f t="shared" ref="K2252" si="3197">(IF(F2252="SELL",G2252-H2252,IF(F2252="BUY",H2252-G2252)))*E2252</f>
        <v>2100.0000000000005</v>
      </c>
      <c r="L2252" s="51">
        <v>0</v>
      </c>
      <c r="M2252" s="52">
        <v>0</v>
      </c>
      <c r="N2252" s="2">
        <f t="shared" ref="N2252:N2315" si="3198">(L2252+K2252+M2252)/E2252</f>
        <v>1.4000000000000004</v>
      </c>
      <c r="O2252" s="2">
        <f t="shared" si="3149"/>
        <v>2100.0000000000005</v>
      </c>
      <c r="P2252" s="13"/>
      <c r="Q2252" s="13"/>
      <c r="R2252" s="13"/>
      <c r="S2252" s="13"/>
      <c r="T2252" s="13"/>
      <c r="U2252" s="13"/>
      <c r="V2252" s="13"/>
      <c r="W2252" s="13"/>
      <c r="X2252" s="13"/>
      <c r="Y2252" s="13"/>
      <c r="Z2252" s="13"/>
      <c r="AA2252" s="13"/>
      <c r="AB2252" s="13"/>
      <c r="AC2252" s="13"/>
      <c r="AD2252" s="13"/>
      <c r="AE2252" s="13"/>
      <c r="AF2252" s="13"/>
      <c r="AG2252" s="13"/>
    </row>
    <row r="2253" spans="1:33" s="14" customFormat="1" ht="15" customHeight="1">
      <c r="A2253" s="10">
        <v>43017</v>
      </c>
      <c r="B2253" s="3" t="s">
        <v>207</v>
      </c>
      <c r="C2253" s="15" t="s">
        <v>47</v>
      </c>
      <c r="D2253" s="15">
        <v>1320</v>
      </c>
      <c r="E2253" s="11">
        <v>550</v>
      </c>
      <c r="F2253" s="3" t="s">
        <v>8</v>
      </c>
      <c r="G2253" s="46">
        <v>25</v>
      </c>
      <c r="H2253" s="3">
        <v>28</v>
      </c>
      <c r="I2253" s="46">
        <v>0</v>
      </c>
      <c r="J2253" s="55">
        <v>0</v>
      </c>
      <c r="K2253" s="1">
        <f t="shared" ref="K2253" si="3199">(IF(F2253="SELL",G2253-H2253,IF(F2253="BUY",H2253-G2253)))*E2253</f>
        <v>1650</v>
      </c>
      <c r="L2253" s="51">
        <v>0</v>
      </c>
      <c r="M2253" s="52">
        <f>(IF(F2253="SELL",IF(J2253="",0,I2253-J2253),IF(F2253="BUY",IF(J2253="",0,(J2253-I2253)))))*E2253</f>
        <v>0</v>
      </c>
      <c r="N2253" s="2">
        <f t="shared" si="3198"/>
        <v>3</v>
      </c>
      <c r="O2253" s="2">
        <f t="shared" si="3149"/>
        <v>1650</v>
      </c>
      <c r="P2253" s="13"/>
      <c r="Q2253" s="13"/>
      <c r="R2253" s="13"/>
      <c r="S2253" s="13"/>
      <c r="T2253" s="13"/>
      <c r="U2253" s="13"/>
      <c r="V2253" s="13"/>
      <c r="W2253" s="13"/>
      <c r="X2253" s="13"/>
      <c r="Y2253" s="13"/>
      <c r="Z2253" s="13"/>
      <c r="AA2253" s="13"/>
      <c r="AB2253" s="13"/>
      <c r="AC2253" s="13"/>
      <c r="AD2253" s="13"/>
      <c r="AE2253" s="13"/>
      <c r="AF2253" s="13"/>
      <c r="AG2253" s="13"/>
    </row>
    <row r="2254" spans="1:33" s="14" customFormat="1" ht="15" customHeight="1">
      <c r="A2254" s="10">
        <v>43014</v>
      </c>
      <c r="B2254" s="3" t="s">
        <v>195</v>
      </c>
      <c r="C2254" s="15" t="s">
        <v>47</v>
      </c>
      <c r="D2254" s="15">
        <v>670</v>
      </c>
      <c r="E2254" s="11">
        <v>2000</v>
      </c>
      <c r="F2254" s="3" t="s">
        <v>8</v>
      </c>
      <c r="G2254" s="46">
        <v>15</v>
      </c>
      <c r="H2254" s="3">
        <v>16</v>
      </c>
      <c r="I2254" s="46">
        <v>18</v>
      </c>
      <c r="J2254" s="55">
        <v>20</v>
      </c>
      <c r="K2254" s="1">
        <f t="shared" ref="K2254" si="3200">(IF(F2254="SELL",G2254-H2254,IF(F2254="BUY",H2254-G2254)))*E2254</f>
        <v>2000</v>
      </c>
      <c r="L2254" s="51">
        <f t="shared" ref="L2254" si="3201">(IF(F2254="SELL",IF(I2254="",0,H2254-I2254),IF(F2254="BUY",IF(I2254="",0,I2254-H2254))))*E2254</f>
        <v>4000</v>
      </c>
      <c r="M2254" s="52">
        <f>(IF(F2254="SELL",IF(J2254="",0,I2254-J2254),IF(F2254="BUY",IF(J2254="",0,(J2254-I2254)))))*E2254</f>
        <v>4000</v>
      </c>
      <c r="N2254" s="2">
        <f t="shared" si="3198"/>
        <v>5</v>
      </c>
      <c r="O2254" s="2">
        <f t="shared" si="3149"/>
        <v>10000</v>
      </c>
      <c r="P2254" s="13"/>
      <c r="Q2254" s="13"/>
      <c r="R2254" s="13"/>
      <c r="S2254" s="13"/>
      <c r="T2254" s="13"/>
      <c r="U2254" s="13"/>
      <c r="V2254" s="13"/>
      <c r="W2254" s="13"/>
      <c r="X2254" s="13"/>
      <c r="Y2254" s="13"/>
      <c r="Z2254" s="13"/>
      <c r="AA2254" s="13"/>
      <c r="AB2254" s="13"/>
      <c r="AC2254" s="13"/>
      <c r="AD2254" s="13"/>
      <c r="AE2254" s="13"/>
      <c r="AF2254" s="13"/>
      <c r="AG2254" s="13"/>
    </row>
    <row r="2255" spans="1:33" s="14" customFormat="1" ht="15" customHeight="1">
      <c r="A2255" s="10">
        <v>43014</v>
      </c>
      <c r="B2255" s="3" t="s">
        <v>192</v>
      </c>
      <c r="C2255" s="15" t="s">
        <v>47</v>
      </c>
      <c r="D2255" s="15">
        <v>1040</v>
      </c>
      <c r="E2255" s="11">
        <v>1000</v>
      </c>
      <c r="F2255" s="3" t="s">
        <v>8</v>
      </c>
      <c r="G2255" s="46">
        <v>17</v>
      </c>
      <c r="H2255" s="3">
        <v>18.5</v>
      </c>
      <c r="I2255" s="46">
        <v>24</v>
      </c>
      <c r="J2255" s="55">
        <v>27</v>
      </c>
      <c r="K2255" s="1">
        <f t="shared" ref="K2255" si="3202">(IF(F2255="SELL",G2255-H2255,IF(F2255="BUY",H2255-G2255)))*E2255</f>
        <v>1500</v>
      </c>
      <c r="L2255" s="51">
        <f t="shared" ref="L2255" si="3203">(IF(F2255="SELL",IF(I2255="",0,H2255-I2255),IF(F2255="BUY",IF(I2255="",0,I2255-H2255))))*E2255</f>
        <v>5500</v>
      </c>
      <c r="M2255" s="52">
        <f>(IF(F2255="SELL",IF(J2255="",0,I2255-J2255),IF(F2255="BUY",IF(J2255="",0,(J2255-I2255)))))*E2255</f>
        <v>3000</v>
      </c>
      <c r="N2255" s="2">
        <f t="shared" si="3198"/>
        <v>10</v>
      </c>
      <c r="O2255" s="2">
        <f t="shared" si="3149"/>
        <v>10000</v>
      </c>
      <c r="P2255" s="13"/>
      <c r="Q2255" s="13"/>
      <c r="R2255" s="13"/>
      <c r="S2255" s="13"/>
      <c r="T2255" s="13"/>
      <c r="U2255" s="13"/>
      <c r="V2255" s="13"/>
      <c r="W2255" s="13"/>
      <c r="X2255" s="13"/>
      <c r="Y2255" s="13"/>
      <c r="Z2255" s="13"/>
      <c r="AA2255" s="13"/>
      <c r="AB2255" s="13"/>
      <c r="AC2255" s="13"/>
      <c r="AD2255" s="13"/>
      <c r="AE2255" s="13"/>
      <c r="AF2255" s="13"/>
      <c r="AG2255" s="13"/>
    </row>
    <row r="2256" spans="1:33" s="14" customFormat="1" ht="15" customHeight="1">
      <c r="A2256" s="10">
        <v>43014</v>
      </c>
      <c r="B2256" s="3" t="s">
        <v>206</v>
      </c>
      <c r="C2256" s="15" t="s">
        <v>47</v>
      </c>
      <c r="D2256" s="15">
        <v>600</v>
      </c>
      <c r="E2256" s="11">
        <v>1500</v>
      </c>
      <c r="F2256" s="3" t="s">
        <v>8</v>
      </c>
      <c r="G2256" s="46">
        <v>16</v>
      </c>
      <c r="H2256" s="3">
        <v>17.5</v>
      </c>
      <c r="I2256" s="46">
        <v>21</v>
      </c>
      <c r="J2256" s="55">
        <v>0</v>
      </c>
      <c r="K2256" s="1">
        <f t="shared" ref="K2256" si="3204">(IF(F2256="SELL",G2256-H2256,IF(F2256="BUY",H2256-G2256)))*E2256</f>
        <v>2250</v>
      </c>
      <c r="L2256" s="51">
        <f t="shared" ref="L2256" si="3205">(IF(F2256="SELL",IF(I2256="",0,H2256-I2256),IF(F2256="BUY",IF(I2256="",0,I2256-H2256))))*E2256</f>
        <v>5250</v>
      </c>
      <c r="M2256" s="52">
        <v>0</v>
      </c>
      <c r="N2256" s="2">
        <f t="shared" si="3198"/>
        <v>5</v>
      </c>
      <c r="O2256" s="2">
        <f t="shared" si="3149"/>
        <v>7500</v>
      </c>
      <c r="P2256" s="13"/>
      <c r="Q2256" s="13"/>
      <c r="R2256" s="13"/>
      <c r="S2256" s="13"/>
      <c r="T2256" s="13"/>
      <c r="U2256" s="13"/>
      <c r="V2256" s="13"/>
      <c r="W2256" s="13"/>
      <c r="X2256" s="13"/>
      <c r="Y2256" s="13"/>
      <c r="Z2256" s="13"/>
      <c r="AA2256" s="13"/>
      <c r="AB2256" s="13"/>
      <c r="AC2256" s="13"/>
      <c r="AD2256" s="13"/>
      <c r="AE2256" s="13"/>
      <c r="AF2256" s="13"/>
      <c r="AG2256" s="13"/>
    </row>
    <row r="2257" spans="1:33" s="14" customFormat="1" ht="15" customHeight="1">
      <c r="A2257" s="10">
        <v>43014</v>
      </c>
      <c r="B2257" s="3" t="s">
        <v>190</v>
      </c>
      <c r="C2257" s="15" t="s">
        <v>47</v>
      </c>
      <c r="D2257" s="15">
        <v>750</v>
      </c>
      <c r="E2257" s="11">
        <v>1100</v>
      </c>
      <c r="F2257" s="3" t="s">
        <v>8</v>
      </c>
      <c r="G2257" s="46">
        <v>19</v>
      </c>
      <c r="H2257" s="3">
        <v>21</v>
      </c>
      <c r="I2257" s="46">
        <v>0</v>
      </c>
      <c r="J2257" s="55">
        <v>0</v>
      </c>
      <c r="K2257" s="1">
        <f t="shared" ref="K2257" si="3206">(IF(F2257="SELL",G2257-H2257,IF(F2257="BUY",H2257-G2257)))*E2257</f>
        <v>2200</v>
      </c>
      <c r="L2257" s="51">
        <v>0</v>
      </c>
      <c r="M2257" s="52">
        <v>0</v>
      </c>
      <c r="N2257" s="2">
        <f t="shared" si="3198"/>
        <v>2</v>
      </c>
      <c r="O2257" s="2">
        <f t="shared" si="3149"/>
        <v>2200</v>
      </c>
      <c r="P2257" s="13"/>
      <c r="Q2257" s="13"/>
      <c r="R2257" s="13"/>
      <c r="S2257" s="13"/>
      <c r="T2257" s="13"/>
      <c r="U2257" s="13"/>
      <c r="V2257" s="13"/>
      <c r="W2257" s="13"/>
      <c r="X2257" s="13"/>
      <c r="Y2257" s="13"/>
      <c r="Z2257" s="13"/>
      <c r="AA2257" s="13"/>
      <c r="AB2257" s="13"/>
      <c r="AC2257" s="13"/>
      <c r="AD2257" s="13"/>
      <c r="AE2257" s="13"/>
      <c r="AF2257" s="13"/>
      <c r="AG2257" s="13"/>
    </row>
    <row r="2258" spans="1:33" s="14" customFormat="1" ht="15" customHeight="1">
      <c r="A2258" s="10">
        <v>43013</v>
      </c>
      <c r="B2258" s="3" t="s">
        <v>139</v>
      </c>
      <c r="C2258" s="15" t="s">
        <v>47</v>
      </c>
      <c r="D2258" s="15">
        <v>1480</v>
      </c>
      <c r="E2258" s="11">
        <v>500</v>
      </c>
      <c r="F2258" s="3" t="s">
        <v>8</v>
      </c>
      <c r="G2258" s="46">
        <v>52</v>
      </c>
      <c r="H2258" s="3">
        <v>56</v>
      </c>
      <c r="I2258" s="46">
        <v>62</v>
      </c>
      <c r="J2258" s="55">
        <v>0</v>
      </c>
      <c r="K2258" s="1">
        <f t="shared" ref="K2258" si="3207">(IF(F2258="SELL",G2258-H2258,IF(F2258="BUY",H2258-G2258)))*E2258</f>
        <v>2000</v>
      </c>
      <c r="L2258" s="51">
        <f t="shared" ref="L2258:L2259" si="3208">(IF(F2258="SELL",IF(I2258="",0,H2258-I2258),IF(F2258="BUY",IF(I2258="",0,I2258-H2258))))*E2258</f>
        <v>3000</v>
      </c>
      <c r="M2258" s="52">
        <v>0</v>
      </c>
      <c r="N2258" s="2">
        <f t="shared" si="3198"/>
        <v>10</v>
      </c>
      <c r="O2258" s="2">
        <f t="shared" si="3149"/>
        <v>5000</v>
      </c>
      <c r="P2258" s="13"/>
      <c r="Q2258" s="13"/>
      <c r="R2258" s="13"/>
      <c r="S2258" s="13"/>
      <c r="T2258" s="13"/>
      <c r="U2258" s="13"/>
      <c r="V2258" s="13"/>
      <c r="W2258" s="13"/>
      <c r="X2258" s="13"/>
      <c r="Y2258" s="13"/>
      <c r="Z2258" s="13"/>
      <c r="AA2258" s="13"/>
      <c r="AB2258" s="13"/>
      <c r="AC2258" s="13"/>
      <c r="AD2258" s="13"/>
      <c r="AE2258" s="13"/>
      <c r="AF2258" s="13"/>
      <c r="AG2258" s="13"/>
    </row>
    <row r="2259" spans="1:33" s="14" customFormat="1" ht="15" customHeight="1">
      <c r="A2259" s="10">
        <v>43013</v>
      </c>
      <c r="B2259" s="3" t="s">
        <v>167</v>
      </c>
      <c r="C2259" s="15" t="s">
        <v>47</v>
      </c>
      <c r="D2259" s="15">
        <v>980</v>
      </c>
      <c r="E2259" s="11">
        <v>1000</v>
      </c>
      <c r="F2259" s="3" t="s">
        <v>8</v>
      </c>
      <c r="G2259" s="46">
        <v>23.5</v>
      </c>
      <c r="H2259" s="3">
        <v>25</v>
      </c>
      <c r="I2259" s="46">
        <v>28</v>
      </c>
      <c r="J2259" s="55">
        <v>0</v>
      </c>
      <c r="K2259" s="1">
        <f t="shared" ref="K2259" si="3209">(IF(F2259="SELL",G2259-H2259,IF(F2259="BUY",H2259-G2259)))*E2259</f>
        <v>1500</v>
      </c>
      <c r="L2259" s="51">
        <f t="shared" si="3208"/>
        <v>3000</v>
      </c>
      <c r="M2259" s="52">
        <v>0</v>
      </c>
      <c r="N2259" s="2">
        <f t="shared" si="3198"/>
        <v>4.5</v>
      </c>
      <c r="O2259" s="2">
        <f t="shared" si="3149"/>
        <v>4500</v>
      </c>
      <c r="P2259" s="13"/>
      <c r="Q2259" s="13"/>
      <c r="R2259" s="13"/>
      <c r="S2259" s="13"/>
      <c r="T2259" s="13"/>
      <c r="U2259" s="13"/>
      <c r="V2259" s="13"/>
      <c r="W2259" s="13"/>
      <c r="X2259" s="13"/>
      <c r="Y2259" s="13"/>
      <c r="Z2259" s="13"/>
      <c r="AA2259" s="13"/>
      <c r="AB2259" s="13"/>
      <c r="AC2259" s="13"/>
      <c r="AD2259" s="13"/>
      <c r="AE2259" s="13"/>
      <c r="AF2259" s="13"/>
      <c r="AG2259" s="13"/>
    </row>
    <row r="2260" spans="1:33" s="14" customFormat="1" ht="15" customHeight="1">
      <c r="A2260" s="10">
        <v>43013</v>
      </c>
      <c r="B2260" s="3" t="s">
        <v>205</v>
      </c>
      <c r="C2260" s="15" t="s">
        <v>47</v>
      </c>
      <c r="D2260" s="15">
        <v>1700</v>
      </c>
      <c r="E2260" s="11">
        <v>400</v>
      </c>
      <c r="F2260" s="3" t="s">
        <v>8</v>
      </c>
      <c r="G2260" s="46">
        <v>35</v>
      </c>
      <c r="H2260" s="3">
        <v>39</v>
      </c>
      <c r="I2260" s="46">
        <v>0</v>
      </c>
      <c r="J2260" s="55">
        <v>0</v>
      </c>
      <c r="K2260" s="1">
        <f t="shared" ref="K2260" si="3210">(IF(F2260="SELL",G2260-H2260,IF(F2260="BUY",H2260-G2260)))*E2260</f>
        <v>1600</v>
      </c>
      <c r="L2260" s="51">
        <v>0</v>
      </c>
      <c r="M2260" s="52">
        <f>(IF(F2260="SELL",IF(J2260="",0,I2260-J2260),IF(F2260="BUY",IF(J2260="",0,(J2260-I2260)))))*E2260</f>
        <v>0</v>
      </c>
      <c r="N2260" s="2">
        <f t="shared" si="3198"/>
        <v>4</v>
      </c>
      <c r="O2260" s="2">
        <f t="shared" si="3149"/>
        <v>1600</v>
      </c>
      <c r="P2260" s="13"/>
      <c r="Q2260" s="13"/>
      <c r="R2260" s="13"/>
      <c r="S2260" s="13"/>
      <c r="T2260" s="13"/>
      <c r="U2260" s="13"/>
      <c r="V2260" s="13"/>
      <c r="W2260" s="13"/>
      <c r="X2260" s="13"/>
      <c r="Y2260" s="13"/>
      <c r="Z2260" s="13"/>
      <c r="AA2260" s="13"/>
      <c r="AB2260" s="13"/>
      <c r="AC2260" s="13"/>
      <c r="AD2260" s="13"/>
      <c r="AE2260" s="13"/>
      <c r="AF2260" s="13"/>
      <c r="AG2260" s="13"/>
    </row>
    <row r="2261" spans="1:33" s="14" customFormat="1" ht="15" customHeight="1">
      <c r="A2261" s="10">
        <v>43013</v>
      </c>
      <c r="B2261" s="3" t="s">
        <v>139</v>
      </c>
      <c r="C2261" s="15" t="s">
        <v>47</v>
      </c>
      <c r="D2261" s="15">
        <v>500</v>
      </c>
      <c r="E2261" s="11">
        <v>500</v>
      </c>
      <c r="F2261" s="3" t="s">
        <v>8</v>
      </c>
      <c r="G2261" s="46">
        <v>47.2</v>
      </c>
      <c r="H2261" s="3">
        <v>51</v>
      </c>
      <c r="I2261" s="46">
        <v>55</v>
      </c>
      <c r="J2261" s="55">
        <v>60</v>
      </c>
      <c r="K2261" s="1">
        <f t="shared" ref="K2261:K2262" si="3211">(IF(F2261="SELL",G2261-H2261,IF(F2261="BUY",H2261-G2261)))*E2261</f>
        <v>1899.9999999999986</v>
      </c>
      <c r="L2261" s="51">
        <f t="shared" ref="L2261:L2263" si="3212">(IF(F2261="SELL",IF(I2261="",0,H2261-I2261),IF(F2261="BUY",IF(I2261="",0,I2261-H2261))))*E2261</f>
        <v>2000</v>
      </c>
      <c r="M2261" s="52">
        <f>(IF(F2261="SELL",IF(J2261="",0,I2261-J2261),IF(F2261="BUY",IF(J2261="",0,(J2261-I2261)))))*E2261</f>
        <v>2500</v>
      </c>
      <c r="N2261" s="2">
        <f t="shared" si="3198"/>
        <v>12.799999999999997</v>
      </c>
      <c r="O2261" s="2">
        <f t="shared" si="3149"/>
        <v>6399.9999999999982</v>
      </c>
      <c r="P2261" s="13"/>
      <c r="Q2261" s="13"/>
      <c r="R2261" s="13"/>
      <c r="S2261" s="13"/>
      <c r="T2261" s="13"/>
      <c r="U2261" s="13"/>
      <c r="V2261" s="13"/>
      <c r="W2261" s="13"/>
      <c r="X2261" s="13"/>
      <c r="Y2261" s="13"/>
      <c r="Z2261" s="13"/>
      <c r="AA2261" s="13"/>
      <c r="AB2261" s="13"/>
      <c r="AC2261" s="13"/>
      <c r="AD2261" s="13"/>
      <c r="AE2261" s="13"/>
      <c r="AF2261" s="13"/>
      <c r="AG2261" s="13"/>
    </row>
    <row r="2262" spans="1:33" s="14" customFormat="1" ht="15" customHeight="1">
      <c r="A2262" s="10">
        <v>43012</v>
      </c>
      <c r="B2262" s="3" t="s">
        <v>167</v>
      </c>
      <c r="C2262" s="15" t="s">
        <v>46</v>
      </c>
      <c r="D2262" s="15">
        <v>920</v>
      </c>
      <c r="E2262" s="11">
        <v>1000</v>
      </c>
      <c r="F2262" s="3" t="s">
        <v>8</v>
      </c>
      <c r="G2262" s="46">
        <v>24.5</v>
      </c>
      <c r="H2262" s="3">
        <v>19</v>
      </c>
      <c r="I2262" s="46">
        <v>0</v>
      </c>
      <c r="J2262" s="55">
        <v>0</v>
      </c>
      <c r="K2262" s="1">
        <f t="shared" si="3211"/>
        <v>-5500</v>
      </c>
      <c r="L2262" s="51">
        <v>0</v>
      </c>
      <c r="M2262" s="52">
        <f>(IF(F2262="SELL",IF(J2262="",0,I2262-J2262),IF(F2262="BUY",IF(J2262="",0,(J2262-I2262)))))*E2262</f>
        <v>0</v>
      </c>
      <c r="N2262" s="2">
        <f t="shared" si="3198"/>
        <v>-5.5</v>
      </c>
      <c r="O2262" s="2">
        <f t="shared" si="3149"/>
        <v>-5500</v>
      </c>
      <c r="P2262" s="13"/>
      <c r="Q2262" s="13"/>
      <c r="R2262" s="13"/>
      <c r="S2262" s="13"/>
      <c r="T2262" s="13"/>
      <c r="U2262" s="13"/>
      <c r="V2262" s="13"/>
      <c r="W2262" s="13"/>
      <c r="X2262" s="13"/>
      <c r="Y2262" s="13"/>
      <c r="Z2262" s="13"/>
      <c r="AA2262" s="13"/>
      <c r="AB2262" s="13"/>
      <c r="AC2262" s="13"/>
      <c r="AD2262" s="13"/>
      <c r="AE2262" s="13"/>
      <c r="AF2262" s="13"/>
      <c r="AG2262" s="13"/>
    </row>
    <row r="2263" spans="1:33" s="14" customFormat="1" ht="15" customHeight="1">
      <c r="A2263" s="10">
        <v>43011</v>
      </c>
      <c r="B2263" s="3" t="s">
        <v>79</v>
      </c>
      <c r="C2263" s="15" t="s">
        <v>47</v>
      </c>
      <c r="D2263" s="15">
        <v>175</v>
      </c>
      <c r="E2263" s="11">
        <v>3500</v>
      </c>
      <c r="F2263" s="3" t="s">
        <v>8</v>
      </c>
      <c r="G2263" s="46">
        <v>6.85</v>
      </c>
      <c r="H2263" s="3">
        <v>7.5</v>
      </c>
      <c r="I2263" s="46">
        <v>8.5</v>
      </c>
      <c r="J2263" s="55">
        <v>9.5</v>
      </c>
      <c r="K2263" s="1">
        <f t="shared" ref="K2263" si="3213">(IF(F2263="SELL",G2263-H2263,IF(F2263="BUY",H2263-G2263)))*E2263</f>
        <v>2275.0000000000014</v>
      </c>
      <c r="L2263" s="51">
        <f t="shared" si="3212"/>
        <v>3500</v>
      </c>
      <c r="M2263" s="52">
        <f>(IF(F2263="SELL",IF(J2263="",0,I2263-J2263),IF(F2263="BUY",IF(J2263="",0,(J2263-I2263)))))*E2263</f>
        <v>3500</v>
      </c>
      <c r="N2263" s="2">
        <f t="shared" si="3198"/>
        <v>2.6500000000000004</v>
      </c>
      <c r="O2263" s="2">
        <f t="shared" si="3149"/>
        <v>9275.0000000000018</v>
      </c>
      <c r="P2263" s="13"/>
      <c r="Q2263" s="13"/>
      <c r="R2263" s="13"/>
      <c r="S2263" s="13"/>
      <c r="T2263" s="13"/>
      <c r="U2263" s="13"/>
      <c r="V2263" s="13"/>
      <c r="W2263" s="13"/>
      <c r="X2263" s="13"/>
      <c r="Y2263" s="13"/>
      <c r="Z2263" s="13"/>
      <c r="AA2263" s="13"/>
      <c r="AB2263" s="13"/>
      <c r="AC2263" s="13"/>
      <c r="AD2263" s="13"/>
      <c r="AE2263" s="13"/>
      <c r="AF2263" s="13"/>
      <c r="AG2263" s="13"/>
    </row>
    <row r="2264" spans="1:33" s="14" customFormat="1" ht="15" customHeight="1">
      <c r="A2264" s="10">
        <v>43011</v>
      </c>
      <c r="B2264" s="3" t="s">
        <v>203</v>
      </c>
      <c r="C2264" s="15" t="s">
        <v>47</v>
      </c>
      <c r="D2264" s="15">
        <v>640</v>
      </c>
      <c r="E2264" s="11">
        <v>1100</v>
      </c>
      <c r="F2264" s="3" t="s">
        <v>8</v>
      </c>
      <c r="G2264" s="46">
        <v>16</v>
      </c>
      <c r="H2264" s="3">
        <v>17.5</v>
      </c>
      <c r="I2264" s="46">
        <v>0</v>
      </c>
      <c r="J2264" s="55">
        <v>0</v>
      </c>
      <c r="K2264" s="1">
        <f t="shared" ref="K2264" si="3214">(IF(F2264="SELL",G2264-H2264,IF(F2264="BUY",H2264-G2264)))*E2264</f>
        <v>1650</v>
      </c>
      <c r="L2264" s="51">
        <v>0</v>
      </c>
      <c r="M2264" s="52">
        <v>0</v>
      </c>
      <c r="N2264" s="2">
        <f t="shared" si="3198"/>
        <v>1.5</v>
      </c>
      <c r="O2264" s="2">
        <f t="shared" si="3149"/>
        <v>1650</v>
      </c>
      <c r="P2264" s="13"/>
      <c r="Q2264" s="13"/>
      <c r="R2264" s="13"/>
      <c r="S2264" s="13"/>
      <c r="T2264" s="13"/>
      <c r="U2264" s="13"/>
      <c r="V2264" s="13"/>
      <c r="W2264" s="13"/>
      <c r="X2264" s="13"/>
      <c r="Y2264" s="13"/>
      <c r="Z2264" s="13"/>
      <c r="AA2264" s="13"/>
      <c r="AB2264" s="13"/>
      <c r="AC2264" s="13"/>
      <c r="AD2264" s="13"/>
      <c r="AE2264" s="13"/>
      <c r="AF2264" s="13"/>
      <c r="AG2264" s="13"/>
    </row>
    <row r="2265" spans="1:33" s="14" customFormat="1" ht="15" customHeight="1">
      <c r="A2265" s="10">
        <v>43011</v>
      </c>
      <c r="B2265" s="3" t="s">
        <v>204</v>
      </c>
      <c r="C2265" s="15" t="s">
        <v>47</v>
      </c>
      <c r="D2265" s="15">
        <v>1260</v>
      </c>
      <c r="E2265" s="11">
        <v>800</v>
      </c>
      <c r="F2265" s="3" t="s">
        <v>8</v>
      </c>
      <c r="G2265" s="46">
        <v>30</v>
      </c>
      <c r="H2265" s="3">
        <v>33</v>
      </c>
      <c r="I2265" s="46">
        <v>0</v>
      </c>
      <c r="J2265" s="55">
        <v>0</v>
      </c>
      <c r="K2265" s="1">
        <f t="shared" ref="K2265" si="3215">(IF(F2265="SELL",G2265-H2265,IF(F2265="BUY",H2265-G2265)))*E2265</f>
        <v>2400</v>
      </c>
      <c r="L2265" s="51">
        <v>0</v>
      </c>
      <c r="M2265" s="52">
        <v>0</v>
      </c>
      <c r="N2265" s="2">
        <f t="shared" si="3198"/>
        <v>3</v>
      </c>
      <c r="O2265" s="2">
        <f t="shared" si="3149"/>
        <v>2400</v>
      </c>
      <c r="P2265" s="13"/>
      <c r="Q2265" s="13"/>
      <c r="R2265" s="13"/>
      <c r="S2265" s="13"/>
      <c r="T2265" s="13"/>
      <c r="U2265" s="13"/>
      <c r="V2265" s="13"/>
      <c r="W2265" s="13"/>
      <c r="X2265" s="13"/>
      <c r="Y2265" s="13"/>
      <c r="Z2265" s="13"/>
      <c r="AA2265" s="13"/>
      <c r="AB2265" s="13"/>
      <c r="AC2265" s="13"/>
      <c r="AD2265" s="13"/>
      <c r="AE2265" s="13"/>
      <c r="AF2265" s="13"/>
      <c r="AG2265" s="13"/>
    </row>
    <row r="2266" spans="1:33" s="14" customFormat="1" ht="15" customHeight="1">
      <c r="A2266" s="10">
        <v>43007</v>
      </c>
      <c r="B2266" s="3" t="s">
        <v>202</v>
      </c>
      <c r="C2266" s="15" t="s">
        <v>47</v>
      </c>
      <c r="D2266" s="15">
        <v>420</v>
      </c>
      <c r="E2266" s="11">
        <v>2500</v>
      </c>
      <c r="F2266" s="3" t="s">
        <v>8</v>
      </c>
      <c r="G2266" s="46">
        <v>12</v>
      </c>
      <c r="H2266" s="3">
        <v>13</v>
      </c>
      <c r="I2266" s="46">
        <v>14</v>
      </c>
      <c r="J2266" s="55">
        <v>0</v>
      </c>
      <c r="K2266" s="1">
        <f t="shared" ref="K2266" si="3216">(IF(F2266="SELL",G2266-H2266,IF(F2266="BUY",H2266-G2266)))*E2266</f>
        <v>2500</v>
      </c>
      <c r="L2266" s="51">
        <f t="shared" ref="L2266" si="3217">(IF(F2266="SELL",IF(I2266="",0,H2266-I2266),IF(F2266="BUY",IF(I2266="",0,I2266-H2266))))*E2266</f>
        <v>2500</v>
      </c>
      <c r="M2266" s="52">
        <v>0</v>
      </c>
      <c r="N2266" s="2">
        <f t="shared" si="3198"/>
        <v>2</v>
      </c>
      <c r="O2266" s="2">
        <f t="shared" si="3149"/>
        <v>5000</v>
      </c>
      <c r="P2266" s="13"/>
      <c r="Q2266" s="13"/>
      <c r="R2266" s="13"/>
      <c r="S2266" s="13"/>
      <c r="T2266" s="13"/>
      <c r="U2266" s="13"/>
      <c r="V2266" s="13"/>
      <c r="W2266" s="13"/>
      <c r="X2266" s="13"/>
      <c r="Y2266" s="13"/>
      <c r="Z2266" s="13"/>
      <c r="AA2266" s="13"/>
      <c r="AB2266" s="13"/>
      <c r="AC2266" s="13"/>
      <c r="AD2266" s="13"/>
      <c r="AE2266" s="13"/>
      <c r="AF2266" s="13"/>
      <c r="AG2266" s="13"/>
    </row>
    <row r="2267" spans="1:33" s="14" customFormat="1" ht="15" customHeight="1">
      <c r="A2267" s="10">
        <v>43007</v>
      </c>
      <c r="B2267" s="3" t="s">
        <v>201</v>
      </c>
      <c r="C2267" s="15" t="s">
        <v>47</v>
      </c>
      <c r="D2267" s="15">
        <v>650</v>
      </c>
      <c r="E2267" s="11">
        <v>2000</v>
      </c>
      <c r="F2267" s="3" t="s">
        <v>8</v>
      </c>
      <c r="G2267" s="46">
        <v>6.2</v>
      </c>
      <c r="H2267" s="3">
        <v>7.2</v>
      </c>
      <c r="I2267" s="46">
        <v>8.1999999999999993</v>
      </c>
      <c r="J2267" s="55">
        <v>10</v>
      </c>
      <c r="K2267" s="1">
        <f t="shared" ref="K2267" si="3218">(IF(F2267="SELL",G2267-H2267,IF(F2267="BUY",H2267-G2267)))*E2267</f>
        <v>2000</v>
      </c>
      <c r="L2267" s="51">
        <f t="shared" ref="L2267" si="3219">(IF(F2267="SELL",IF(I2267="",0,H2267-I2267),IF(F2267="BUY",IF(I2267="",0,I2267-H2267))))*E2267</f>
        <v>1999.9999999999982</v>
      </c>
      <c r="M2267" s="52">
        <f>(IF(F2267="SELL",IF(J2267="",0,I2267-J2267),IF(F2267="BUY",IF(J2267="",0,(J2267-I2267)))))*E2267</f>
        <v>3600.0000000000014</v>
      </c>
      <c r="N2267" s="2">
        <f t="shared" si="3198"/>
        <v>3.8</v>
      </c>
      <c r="O2267" s="2">
        <f t="shared" si="3149"/>
        <v>7600</v>
      </c>
      <c r="P2267" s="13"/>
      <c r="Q2267" s="13"/>
      <c r="R2267" s="13"/>
      <c r="S2267" s="13"/>
      <c r="T2267" s="13"/>
      <c r="U2267" s="13"/>
      <c r="V2267" s="13"/>
      <c r="W2267" s="13"/>
      <c r="X2267" s="13"/>
      <c r="Y2267" s="13"/>
      <c r="Z2267" s="13"/>
      <c r="AA2267" s="13"/>
      <c r="AB2267" s="13"/>
      <c r="AC2267" s="13"/>
      <c r="AD2267" s="13"/>
      <c r="AE2267" s="13"/>
      <c r="AF2267" s="13"/>
      <c r="AG2267" s="13"/>
    </row>
    <row r="2268" spans="1:33" s="14" customFormat="1" ht="15" customHeight="1">
      <c r="A2268" s="10">
        <v>43007</v>
      </c>
      <c r="B2268" s="3" t="s">
        <v>35</v>
      </c>
      <c r="C2268" s="15" t="s">
        <v>47</v>
      </c>
      <c r="D2268" s="15">
        <v>640</v>
      </c>
      <c r="E2268" s="11">
        <v>1100</v>
      </c>
      <c r="F2268" s="3" t="s">
        <v>8</v>
      </c>
      <c r="G2268" s="46">
        <v>15.3</v>
      </c>
      <c r="H2268" s="3">
        <v>16.95</v>
      </c>
      <c r="I2268" s="46">
        <v>0</v>
      </c>
      <c r="J2268" s="55">
        <v>0</v>
      </c>
      <c r="K2268" s="1">
        <f t="shared" ref="K2268" si="3220">(IF(F2268="SELL",G2268-H2268,IF(F2268="BUY",H2268-G2268)))*E2268</f>
        <v>1814.9999999999984</v>
      </c>
      <c r="L2268" s="51">
        <v>0</v>
      </c>
      <c r="M2268" s="52">
        <v>0</v>
      </c>
      <c r="N2268" s="2">
        <f t="shared" si="3198"/>
        <v>1.6499999999999986</v>
      </c>
      <c r="O2268" s="2">
        <f t="shared" si="3149"/>
        <v>1814.9999999999984</v>
      </c>
      <c r="P2268" s="13"/>
      <c r="Q2268" s="13"/>
      <c r="R2268" s="13"/>
      <c r="S2268" s="13"/>
      <c r="T2268" s="13"/>
      <c r="U2268" s="13"/>
      <c r="V2268" s="13"/>
      <c r="W2268" s="13"/>
      <c r="X2268" s="13"/>
      <c r="Y2268" s="13"/>
      <c r="Z2268" s="13"/>
      <c r="AA2268" s="13"/>
      <c r="AB2268" s="13"/>
      <c r="AC2268" s="13"/>
      <c r="AD2268" s="13"/>
      <c r="AE2268" s="13"/>
      <c r="AF2268" s="13"/>
      <c r="AG2268" s="13"/>
    </row>
    <row r="2269" spans="1:33" s="14" customFormat="1" ht="15" customHeight="1">
      <c r="A2269" s="10">
        <v>43006</v>
      </c>
      <c r="B2269" s="3" t="s">
        <v>200</v>
      </c>
      <c r="C2269" s="15" t="s">
        <v>47</v>
      </c>
      <c r="D2269" s="15">
        <v>630</v>
      </c>
      <c r="E2269" s="11">
        <v>1500</v>
      </c>
      <c r="F2269" s="3" t="s">
        <v>8</v>
      </c>
      <c r="G2269" s="46">
        <v>6.75</v>
      </c>
      <c r="H2269" s="3">
        <v>8</v>
      </c>
      <c r="I2269" s="46">
        <v>10</v>
      </c>
      <c r="J2269" s="55">
        <v>0</v>
      </c>
      <c r="K2269" s="1">
        <f t="shared" ref="K2269:K2270" si="3221">(IF(F2269="SELL",G2269-H2269,IF(F2269="BUY",H2269-G2269)))*E2269</f>
        <v>1875</v>
      </c>
      <c r="L2269" s="51">
        <f t="shared" ref="L2269" si="3222">(IF(F2269="SELL",IF(I2269="",0,H2269-I2269),IF(F2269="BUY",IF(I2269="",0,I2269-H2269))))*E2269</f>
        <v>3000</v>
      </c>
      <c r="M2269" s="52">
        <v>0</v>
      </c>
      <c r="N2269" s="2">
        <f t="shared" si="3198"/>
        <v>3.25</v>
      </c>
      <c r="O2269" s="2">
        <f t="shared" si="3149"/>
        <v>4875</v>
      </c>
      <c r="P2269" s="13"/>
      <c r="Q2269" s="13"/>
      <c r="R2269" s="13"/>
      <c r="S2269" s="13"/>
      <c r="T2269" s="13"/>
      <c r="U2269" s="13"/>
      <c r="V2269" s="13"/>
      <c r="W2269" s="13"/>
      <c r="X2269" s="13"/>
      <c r="Y2269" s="13"/>
      <c r="Z2269" s="13"/>
      <c r="AA2269" s="13"/>
      <c r="AB2269" s="13"/>
      <c r="AC2269" s="13"/>
      <c r="AD2269" s="13"/>
      <c r="AE2269" s="13"/>
      <c r="AF2269" s="13"/>
      <c r="AG2269" s="13"/>
    </row>
    <row r="2270" spans="1:33" s="14" customFormat="1" ht="15" customHeight="1">
      <c r="A2270" s="10">
        <v>43006</v>
      </c>
      <c r="B2270" s="3" t="s">
        <v>28</v>
      </c>
      <c r="C2270" s="15" t="s">
        <v>46</v>
      </c>
      <c r="D2270" s="15">
        <v>385</v>
      </c>
      <c r="E2270" s="11">
        <v>1700</v>
      </c>
      <c r="F2270" s="3" t="s">
        <v>8</v>
      </c>
      <c r="G2270" s="46">
        <v>6</v>
      </c>
      <c r="H2270" s="3">
        <v>7</v>
      </c>
      <c r="I2270" s="46">
        <v>0</v>
      </c>
      <c r="J2270" s="55">
        <v>0</v>
      </c>
      <c r="K2270" s="1">
        <f t="shared" si="3221"/>
        <v>1700</v>
      </c>
      <c r="L2270" s="51">
        <v>0</v>
      </c>
      <c r="M2270" s="52">
        <f>(IF(F2270="SELL",IF(J2270="",0,I2270-J2270),IF(F2270="BUY",IF(J2270="",0,(J2270-I2270)))))*E2270</f>
        <v>0</v>
      </c>
      <c r="N2270" s="2">
        <f t="shared" si="3198"/>
        <v>1</v>
      </c>
      <c r="O2270" s="2">
        <f t="shared" si="3149"/>
        <v>1700</v>
      </c>
      <c r="P2270" s="13"/>
      <c r="Q2270" s="13"/>
      <c r="R2270" s="13"/>
      <c r="S2270" s="13"/>
      <c r="T2270" s="13"/>
      <c r="U2270" s="13"/>
      <c r="V2270" s="13"/>
      <c r="W2270" s="13"/>
      <c r="X2270" s="13"/>
      <c r="Y2270" s="13"/>
      <c r="Z2270" s="13"/>
      <c r="AA2270" s="13"/>
      <c r="AB2270" s="13"/>
      <c r="AC2270" s="13"/>
      <c r="AD2270" s="13"/>
      <c r="AE2270" s="13"/>
      <c r="AF2270" s="13"/>
      <c r="AG2270" s="13"/>
    </row>
    <row r="2271" spans="1:33" s="14" customFormat="1" ht="15" customHeight="1">
      <c r="A2271" s="10">
        <v>43005</v>
      </c>
      <c r="B2271" s="3" t="s">
        <v>26</v>
      </c>
      <c r="C2271" s="15" t="s">
        <v>47</v>
      </c>
      <c r="D2271" s="15">
        <v>650</v>
      </c>
      <c r="E2271" s="11">
        <v>1700</v>
      </c>
      <c r="F2271" s="3" t="s">
        <v>8</v>
      </c>
      <c r="G2271" s="46">
        <v>6.2</v>
      </c>
      <c r="H2271" s="3">
        <v>0</v>
      </c>
      <c r="I2271" s="46">
        <v>0</v>
      </c>
      <c r="J2271" s="55">
        <v>0</v>
      </c>
      <c r="K2271" s="1">
        <v>0</v>
      </c>
      <c r="L2271" s="51">
        <v>0</v>
      </c>
      <c r="M2271" s="52">
        <f>(IF(F2271="SELL",IF(J2271="",0,I2271-J2271),IF(F2271="BUY",IF(J2271="",0,(J2271-I2271)))))*E2271</f>
        <v>0</v>
      </c>
      <c r="N2271" s="2">
        <f t="shared" si="3198"/>
        <v>0</v>
      </c>
      <c r="O2271" s="2">
        <f t="shared" si="3149"/>
        <v>0</v>
      </c>
      <c r="P2271" s="13"/>
      <c r="Q2271" s="13"/>
      <c r="R2271" s="13"/>
      <c r="S2271" s="13"/>
      <c r="T2271" s="13"/>
      <c r="U2271" s="13"/>
      <c r="V2271" s="13"/>
      <c r="W2271" s="13"/>
      <c r="X2271" s="13"/>
      <c r="Y2271" s="13"/>
      <c r="Z2271" s="13"/>
      <c r="AA2271" s="13"/>
      <c r="AB2271" s="13"/>
      <c r="AC2271" s="13"/>
      <c r="AD2271" s="13"/>
      <c r="AE2271" s="13"/>
      <c r="AF2271" s="13"/>
      <c r="AG2271" s="13"/>
    </row>
    <row r="2272" spans="1:33" s="14" customFormat="1" ht="15" customHeight="1">
      <c r="A2272" s="10">
        <v>43004</v>
      </c>
      <c r="B2272" s="3" t="s">
        <v>199</v>
      </c>
      <c r="C2272" s="15" t="s">
        <v>47</v>
      </c>
      <c r="D2272" s="15">
        <v>650</v>
      </c>
      <c r="E2272" s="11">
        <v>2000</v>
      </c>
      <c r="F2272" s="3" t="s">
        <v>8</v>
      </c>
      <c r="G2272" s="46">
        <v>6.2</v>
      </c>
      <c r="H2272" s="3">
        <v>7.2</v>
      </c>
      <c r="I2272" s="46">
        <v>8.1999999999999993</v>
      </c>
      <c r="J2272" s="55">
        <v>10</v>
      </c>
      <c r="K2272" s="1">
        <f t="shared" ref="K2272" si="3223">(IF(F2272="SELL",G2272-H2272,IF(F2272="BUY",H2272-G2272)))*E2272</f>
        <v>2000</v>
      </c>
      <c r="L2272" s="51">
        <f t="shared" ref="L2272" si="3224">(IF(F2272="SELL",IF(I2272="",0,H2272-I2272),IF(F2272="BUY",IF(I2272="",0,I2272-H2272))))*E2272</f>
        <v>1999.9999999999982</v>
      </c>
      <c r="M2272" s="52">
        <f>(IF(F2272="SELL",IF(J2272="",0,I2272-J2272),IF(F2272="BUY",IF(J2272="",0,(J2272-I2272)))))*E2272</f>
        <v>3600.0000000000014</v>
      </c>
      <c r="N2272" s="2">
        <f t="shared" si="3198"/>
        <v>3.8</v>
      </c>
      <c r="O2272" s="2">
        <f t="shared" ref="O2272:O2335" si="3225">N2272*E2272</f>
        <v>7600</v>
      </c>
      <c r="P2272" s="13"/>
      <c r="Q2272" s="13"/>
      <c r="R2272" s="13"/>
      <c r="S2272" s="13"/>
      <c r="T2272" s="13"/>
      <c r="U2272" s="13"/>
      <c r="V2272" s="13"/>
      <c r="W2272" s="13"/>
      <c r="X2272" s="13"/>
      <c r="Y2272" s="13"/>
      <c r="Z2272" s="13"/>
      <c r="AA2272" s="13"/>
      <c r="AB2272" s="13"/>
      <c r="AC2272" s="13"/>
      <c r="AD2272" s="13"/>
      <c r="AE2272" s="13"/>
      <c r="AF2272" s="13"/>
      <c r="AG2272" s="13"/>
    </row>
    <row r="2273" spans="1:33" s="14" customFormat="1" ht="15" customHeight="1">
      <c r="A2273" s="10">
        <v>43004</v>
      </c>
      <c r="B2273" s="3" t="s">
        <v>172</v>
      </c>
      <c r="C2273" s="15" t="s">
        <v>46</v>
      </c>
      <c r="D2273" s="15">
        <v>420</v>
      </c>
      <c r="E2273" s="11">
        <v>1500</v>
      </c>
      <c r="F2273" s="3" t="s">
        <v>8</v>
      </c>
      <c r="G2273" s="46">
        <v>11</v>
      </c>
      <c r="H2273" s="3">
        <v>12</v>
      </c>
      <c r="I2273" s="46">
        <v>14</v>
      </c>
      <c r="J2273" s="55">
        <v>16</v>
      </c>
      <c r="K2273" s="1">
        <f t="shared" ref="K2273" si="3226">(IF(F2273="SELL",G2273-H2273,IF(F2273="BUY",H2273-G2273)))*E2273</f>
        <v>1500</v>
      </c>
      <c r="L2273" s="51">
        <f t="shared" ref="L2273" si="3227">(IF(F2273="SELL",IF(I2273="",0,H2273-I2273),IF(F2273="BUY",IF(I2273="",0,I2273-H2273))))*E2273</f>
        <v>3000</v>
      </c>
      <c r="M2273" s="52">
        <f>(IF(F2273="SELL",IF(J2273="",0,I2273-J2273),IF(F2273="BUY",IF(J2273="",0,(J2273-I2273)))))*E2273</f>
        <v>3000</v>
      </c>
      <c r="N2273" s="2">
        <f t="shared" si="3198"/>
        <v>5</v>
      </c>
      <c r="O2273" s="2">
        <f t="shared" si="3225"/>
        <v>7500</v>
      </c>
      <c r="P2273" s="13"/>
      <c r="Q2273" s="13"/>
      <c r="R2273" s="13"/>
      <c r="S2273" s="13"/>
      <c r="T2273" s="13"/>
      <c r="U2273" s="13"/>
      <c r="V2273" s="13"/>
      <c r="W2273" s="13"/>
      <c r="X2273" s="13"/>
      <c r="Y2273" s="13"/>
      <c r="Z2273" s="13"/>
      <c r="AA2273" s="13"/>
      <c r="AB2273" s="13"/>
      <c r="AC2273" s="13"/>
      <c r="AD2273" s="13"/>
      <c r="AE2273" s="13"/>
      <c r="AF2273" s="13"/>
      <c r="AG2273" s="13"/>
    </row>
    <row r="2274" spans="1:33" s="14" customFormat="1" ht="15" customHeight="1">
      <c r="A2274" s="10">
        <v>43003</v>
      </c>
      <c r="B2274" s="3" t="s">
        <v>197</v>
      </c>
      <c r="C2274" s="15" t="s">
        <v>47</v>
      </c>
      <c r="D2274" s="15">
        <v>165</v>
      </c>
      <c r="E2274" s="11">
        <v>6000</v>
      </c>
      <c r="F2274" s="3" t="s">
        <v>8</v>
      </c>
      <c r="G2274" s="46">
        <v>3.3</v>
      </c>
      <c r="H2274" s="3">
        <v>3.9</v>
      </c>
      <c r="I2274" s="46">
        <v>4.5</v>
      </c>
      <c r="J2274" s="55">
        <v>0</v>
      </c>
      <c r="K2274" s="1">
        <f t="shared" ref="K2274" si="3228">(IF(F2274="SELL",G2274-H2274,IF(F2274="BUY",H2274-G2274)))*E2274</f>
        <v>3600.0000000000005</v>
      </c>
      <c r="L2274" s="51">
        <f t="shared" ref="L2274" si="3229">(IF(F2274="SELL",IF(I2274="",0,H2274-I2274),IF(F2274="BUY",IF(I2274="",0,I2274-H2274))))*E2274</f>
        <v>3600.0000000000005</v>
      </c>
      <c r="M2274" s="52">
        <v>0</v>
      </c>
      <c r="N2274" s="2">
        <f t="shared" si="3198"/>
        <v>1.2000000000000002</v>
      </c>
      <c r="O2274" s="2">
        <f t="shared" si="3225"/>
        <v>7200.0000000000009</v>
      </c>
      <c r="P2274" s="13"/>
      <c r="Q2274" s="13"/>
      <c r="R2274" s="13"/>
      <c r="S2274" s="13"/>
      <c r="T2274" s="13"/>
      <c r="U2274" s="13"/>
      <c r="V2274" s="13"/>
      <c r="W2274" s="13"/>
      <c r="X2274" s="13"/>
      <c r="Y2274" s="13"/>
      <c r="Z2274" s="13"/>
      <c r="AA2274" s="13"/>
      <c r="AB2274" s="13"/>
      <c r="AC2274" s="13"/>
      <c r="AD2274" s="13"/>
      <c r="AE2274" s="13"/>
      <c r="AF2274" s="13"/>
      <c r="AG2274" s="13"/>
    </row>
    <row r="2275" spans="1:33" s="14" customFormat="1" ht="15" customHeight="1">
      <c r="A2275" s="10">
        <v>43003</v>
      </c>
      <c r="B2275" s="3" t="s">
        <v>195</v>
      </c>
      <c r="C2275" s="15" t="s">
        <v>47</v>
      </c>
      <c r="D2275" s="15">
        <v>640</v>
      </c>
      <c r="E2275" s="11">
        <v>2000</v>
      </c>
      <c r="F2275" s="3" t="s">
        <v>8</v>
      </c>
      <c r="G2275" s="46">
        <v>6.6</v>
      </c>
      <c r="H2275" s="3">
        <v>7.6</v>
      </c>
      <c r="I2275" s="46">
        <v>9.6999999999999993</v>
      </c>
      <c r="J2275" s="55">
        <v>0</v>
      </c>
      <c r="K2275" s="1">
        <f t="shared" ref="K2275" si="3230">(IF(F2275="SELL",G2275-H2275,IF(F2275="BUY",H2275-G2275)))*E2275</f>
        <v>2000</v>
      </c>
      <c r="L2275" s="51">
        <f t="shared" ref="L2275" si="3231">(IF(F2275="SELL",IF(I2275="",0,H2275-I2275),IF(F2275="BUY",IF(I2275="",0,I2275-H2275))))*E2275</f>
        <v>4199.9999999999991</v>
      </c>
      <c r="M2275" s="52">
        <v>0</v>
      </c>
      <c r="N2275" s="2">
        <f t="shared" si="3198"/>
        <v>3.0999999999999996</v>
      </c>
      <c r="O2275" s="2">
        <f t="shared" si="3225"/>
        <v>6199.9999999999991</v>
      </c>
      <c r="P2275" s="13"/>
      <c r="Q2275" s="13"/>
      <c r="R2275" s="13"/>
      <c r="S2275" s="13"/>
      <c r="T2275" s="13"/>
      <c r="U2275" s="13"/>
      <c r="V2275" s="13"/>
      <c r="W2275" s="13"/>
      <c r="X2275" s="13"/>
      <c r="Y2275" s="13"/>
      <c r="Z2275" s="13"/>
      <c r="AA2275" s="13"/>
      <c r="AB2275" s="13"/>
      <c r="AC2275" s="13"/>
      <c r="AD2275" s="13"/>
      <c r="AE2275" s="13"/>
      <c r="AF2275" s="13"/>
      <c r="AG2275" s="13"/>
    </row>
    <row r="2276" spans="1:33" s="14" customFormat="1" ht="15" customHeight="1">
      <c r="A2276" s="10">
        <v>43003</v>
      </c>
      <c r="B2276" s="3" t="s">
        <v>198</v>
      </c>
      <c r="C2276" s="15" t="s">
        <v>47</v>
      </c>
      <c r="D2276" s="15">
        <v>260</v>
      </c>
      <c r="E2276" s="11">
        <v>3000</v>
      </c>
      <c r="F2276" s="3" t="s">
        <v>8</v>
      </c>
      <c r="G2276" s="46">
        <v>2.6</v>
      </c>
      <c r="H2276" s="3">
        <v>3.1</v>
      </c>
      <c r="I2276" s="46">
        <v>0</v>
      </c>
      <c r="J2276" s="55">
        <v>0</v>
      </c>
      <c r="K2276" s="1">
        <f t="shared" ref="K2276" si="3232">(IF(F2276="SELL",G2276-H2276,IF(F2276="BUY",H2276-G2276)))*E2276</f>
        <v>1500</v>
      </c>
      <c r="L2276" s="51">
        <v>0</v>
      </c>
      <c r="M2276" s="52">
        <v>0</v>
      </c>
      <c r="N2276" s="2">
        <f t="shared" si="3198"/>
        <v>0.5</v>
      </c>
      <c r="O2276" s="2">
        <f t="shared" si="3225"/>
        <v>1500</v>
      </c>
      <c r="P2276" s="13"/>
      <c r="Q2276" s="13"/>
      <c r="R2276" s="13"/>
      <c r="S2276" s="13"/>
      <c r="T2276" s="13"/>
      <c r="U2276" s="13"/>
      <c r="V2276" s="13"/>
      <c r="W2276" s="13"/>
      <c r="X2276" s="13"/>
      <c r="Y2276" s="13"/>
      <c r="Z2276" s="13"/>
      <c r="AA2276" s="13"/>
      <c r="AB2276" s="13"/>
      <c r="AC2276" s="13"/>
      <c r="AD2276" s="13"/>
      <c r="AE2276" s="13"/>
      <c r="AF2276" s="13"/>
      <c r="AG2276" s="13"/>
    </row>
    <row r="2277" spans="1:33" s="14" customFormat="1" ht="15" customHeight="1">
      <c r="A2277" s="10">
        <v>43000</v>
      </c>
      <c r="B2277" s="3" t="s">
        <v>158</v>
      </c>
      <c r="C2277" s="15" t="s">
        <v>47</v>
      </c>
      <c r="D2277" s="15">
        <v>8100</v>
      </c>
      <c r="E2277" s="11">
        <v>150</v>
      </c>
      <c r="F2277" s="3" t="s">
        <v>8</v>
      </c>
      <c r="G2277" s="46">
        <v>77</v>
      </c>
      <c r="H2277" s="3">
        <v>0</v>
      </c>
      <c r="I2277" s="46">
        <v>0</v>
      </c>
      <c r="J2277" s="55">
        <v>0</v>
      </c>
      <c r="K2277" s="1">
        <v>0</v>
      </c>
      <c r="L2277" s="51">
        <f t="shared" ref="L2277" si="3233">(IF(F2277="SELL",IF(I2277="",0,H2277-I2277),IF(F2277="BUY",IF(I2277="",0,I2277-H2277))))*E2277</f>
        <v>0</v>
      </c>
      <c r="M2277" s="52">
        <v>0</v>
      </c>
      <c r="N2277" s="2">
        <f t="shared" si="3198"/>
        <v>0</v>
      </c>
      <c r="O2277" s="2">
        <f t="shared" si="3225"/>
        <v>0</v>
      </c>
      <c r="P2277" s="13"/>
      <c r="Q2277" s="13"/>
      <c r="R2277" s="13"/>
      <c r="S2277" s="13"/>
      <c r="T2277" s="13"/>
      <c r="U2277" s="13"/>
      <c r="V2277" s="13"/>
      <c r="W2277" s="13"/>
      <c r="X2277" s="13"/>
      <c r="Y2277" s="13"/>
      <c r="Z2277" s="13"/>
      <c r="AA2277" s="13"/>
      <c r="AB2277" s="13"/>
      <c r="AC2277" s="13"/>
      <c r="AD2277" s="13"/>
      <c r="AE2277" s="13"/>
      <c r="AF2277" s="13"/>
      <c r="AG2277" s="13"/>
    </row>
    <row r="2278" spans="1:33" s="14" customFormat="1" ht="15" customHeight="1">
      <c r="A2278" s="10">
        <v>42999</v>
      </c>
      <c r="B2278" s="3" t="s">
        <v>195</v>
      </c>
      <c r="C2278" s="15" t="s">
        <v>47</v>
      </c>
      <c r="D2278" s="15">
        <v>690</v>
      </c>
      <c r="E2278" s="11">
        <v>2000</v>
      </c>
      <c r="F2278" s="3" t="s">
        <v>8</v>
      </c>
      <c r="G2278" s="46">
        <v>9.4</v>
      </c>
      <c r="H2278" s="3">
        <v>10.4</v>
      </c>
      <c r="I2278" s="46">
        <v>12</v>
      </c>
      <c r="J2278" s="55">
        <v>0</v>
      </c>
      <c r="K2278" s="1">
        <f t="shared" ref="K2278" si="3234">(IF(F2278="SELL",G2278-H2278,IF(F2278="BUY",H2278-G2278)))*E2278</f>
        <v>2000</v>
      </c>
      <c r="L2278" s="51">
        <f t="shared" ref="L2278" si="3235">(IF(F2278="SELL",IF(I2278="",0,H2278-I2278),IF(F2278="BUY",IF(I2278="",0,I2278-H2278))))*E2278</f>
        <v>3199.9999999999991</v>
      </c>
      <c r="M2278" s="52">
        <v>0</v>
      </c>
      <c r="N2278" s="2">
        <f t="shared" si="3198"/>
        <v>2.5999999999999996</v>
      </c>
      <c r="O2278" s="2">
        <f t="shared" si="3225"/>
        <v>5199.9999999999991</v>
      </c>
      <c r="P2278" s="13"/>
      <c r="Q2278" s="13"/>
      <c r="R2278" s="13"/>
      <c r="S2278" s="13"/>
      <c r="T2278" s="13"/>
      <c r="U2278" s="13"/>
      <c r="V2278" s="13"/>
      <c r="W2278" s="13"/>
      <c r="X2278" s="13"/>
      <c r="Y2278" s="13"/>
      <c r="Z2278" s="13"/>
      <c r="AA2278" s="13"/>
      <c r="AB2278" s="13"/>
      <c r="AC2278" s="13"/>
      <c r="AD2278" s="13"/>
      <c r="AE2278" s="13"/>
      <c r="AF2278" s="13"/>
      <c r="AG2278" s="13"/>
    </row>
    <row r="2279" spans="1:33" s="14" customFormat="1" ht="15" customHeight="1">
      <c r="A2279" s="10">
        <v>42999</v>
      </c>
      <c r="B2279" s="3" t="s">
        <v>196</v>
      </c>
      <c r="C2279" s="15" t="s">
        <v>47</v>
      </c>
      <c r="D2279" s="15">
        <v>450</v>
      </c>
      <c r="E2279" s="11">
        <v>1100</v>
      </c>
      <c r="F2279" s="3" t="s">
        <v>8</v>
      </c>
      <c r="G2279" s="46">
        <v>9.5</v>
      </c>
      <c r="H2279" s="3">
        <v>10.5</v>
      </c>
      <c r="I2279" s="46">
        <v>12</v>
      </c>
      <c r="J2279" s="55">
        <v>0</v>
      </c>
      <c r="K2279" s="1">
        <f t="shared" ref="K2279" si="3236">(IF(F2279="SELL",G2279-H2279,IF(F2279="BUY",H2279-G2279)))*E2279</f>
        <v>1100</v>
      </c>
      <c r="L2279" s="51">
        <f t="shared" ref="L2279" si="3237">(IF(F2279="SELL",IF(I2279="",0,H2279-I2279),IF(F2279="BUY",IF(I2279="",0,I2279-H2279))))*E2279</f>
        <v>1650</v>
      </c>
      <c r="M2279" s="52">
        <v>0</v>
      </c>
      <c r="N2279" s="2">
        <f t="shared" si="3198"/>
        <v>2.5</v>
      </c>
      <c r="O2279" s="2">
        <f t="shared" si="3225"/>
        <v>2750</v>
      </c>
      <c r="P2279" s="13"/>
      <c r="Q2279" s="13"/>
      <c r="R2279" s="13"/>
      <c r="S2279" s="13"/>
      <c r="T2279" s="13"/>
      <c r="U2279" s="13"/>
      <c r="V2279" s="13"/>
      <c r="W2279" s="13"/>
      <c r="X2279" s="13"/>
      <c r="Y2279" s="13"/>
      <c r="Z2279" s="13"/>
      <c r="AA2279" s="13"/>
      <c r="AB2279" s="13"/>
      <c r="AC2279" s="13"/>
      <c r="AD2279" s="13"/>
      <c r="AE2279" s="13"/>
      <c r="AF2279" s="13"/>
      <c r="AG2279" s="13"/>
    </row>
    <row r="2280" spans="1:33" s="14" customFormat="1" ht="15" customHeight="1">
      <c r="A2280" s="10">
        <v>42999</v>
      </c>
      <c r="B2280" s="3" t="s">
        <v>155</v>
      </c>
      <c r="C2280" s="15" t="s">
        <v>47</v>
      </c>
      <c r="D2280" s="15">
        <v>1040</v>
      </c>
      <c r="E2280" s="11">
        <v>400</v>
      </c>
      <c r="F2280" s="3" t="s">
        <v>8</v>
      </c>
      <c r="G2280" s="46">
        <v>21</v>
      </c>
      <c r="H2280" s="3">
        <v>25</v>
      </c>
      <c r="I2280" s="46">
        <v>0</v>
      </c>
      <c r="J2280" s="55">
        <v>0</v>
      </c>
      <c r="K2280" s="1">
        <f t="shared" ref="K2280" si="3238">(IF(F2280="SELL",G2280-H2280,IF(F2280="BUY",H2280-G2280)))*E2280</f>
        <v>1600</v>
      </c>
      <c r="L2280" s="51">
        <v>0</v>
      </c>
      <c r="M2280" s="52">
        <v>0</v>
      </c>
      <c r="N2280" s="2">
        <f t="shared" si="3198"/>
        <v>4</v>
      </c>
      <c r="O2280" s="2">
        <f t="shared" si="3225"/>
        <v>1600</v>
      </c>
      <c r="P2280" s="13"/>
      <c r="Q2280" s="13"/>
      <c r="R2280" s="13"/>
      <c r="S2280" s="13"/>
      <c r="T2280" s="13"/>
      <c r="U2280" s="13"/>
      <c r="V2280" s="13"/>
      <c r="W2280" s="13"/>
      <c r="X2280" s="13"/>
      <c r="Y2280" s="13"/>
      <c r="Z2280" s="13"/>
      <c r="AA2280" s="13"/>
      <c r="AB2280" s="13"/>
      <c r="AC2280" s="13"/>
      <c r="AD2280" s="13"/>
      <c r="AE2280" s="13"/>
      <c r="AF2280" s="13"/>
      <c r="AG2280" s="13"/>
    </row>
    <row r="2281" spans="1:33" s="14" customFormat="1" ht="15" customHeight="1">
      <c r="A2281" s="10">
        <v>42998</v>
      </c>
      <c r="B2281" s="3" t="s">
        <v>195</v>
      </c>
      <c r="C2281" s="15" t="s">
        <v>47</v>
      </c>
      <c r="D2281" s="15">
        <v>680</v>
      </c>
      <c r="E2281" s="11">
        <v>2000</v>
      </c>
      <c r="F2281" s="3" t="s">
        <v>8</v>
      </c>
      <c r="G2281" s="46">
        <v>13</v>
      </c>
      <c r="H2281" s="3">
        <v>14</v>
      </c>
      <c r="I2281" s="46">
        <v>16</v>
      </c>
      <c r="J2281" s="55">
        <v>0</v>
      </c>
      <c r="K2281" s="1">
        <f t="shared" ref="K2281:K2282" si="3239">(IF(F2281="SELL",G2281-H2281,IF(F2281="BUY",H2281-G2281)))*E2281</f>
        <v>2000</v>
      </c>
      <c r="L2281" s="51">
        <f t="shared" ref="L2281" si="3240">(IF(F2281="SELL",IF(I2281="",0,H2281-I2281),IF(F2281="BUY",IF(I2281="",0,I2281-H2281))))*E2281</f>
        <v>4000</v>
      </c>
      <c r="M2281" s="52">
        <v>0</v>
      </c>
      <c r="N2281" s="2">
        <f t="shared" si="3198"/>
        <v>3</v>
      </c>
      <c r="O2281" s="2">
        <f t="shared" si="3225"/>
        <v>6000</v>
      </c>
      <c r="P2281" s="13"/>
      <c r="Q2281" s="13"/>
      <c r="R2281" s="13"/>
      <c r="S2281" s="13"/>
      <c r="T2281" s="13"/>
      <c r="U2281" s="13"/>
      <c r="V2281" s="13"/>
      <c r="W2281" s="13"/>
      <c r="X2281" s="13"/>
      <c r="Y2281" s="13"/>
      <c r="Z2281" s="13"/>
      <c r="AA2281" s="13"/>
      <c r="AB2281" s="13"/>
      <c r="AC2281" s="13"/>
      <c r="AD2281" s="13"/>
      <c r="AE2281" s="13"/>
      <c r="AF2281" s="13"/>
      <c r="AG2281" s="13"/>
    </row>
    <row r="2282" spans="1:33" s="14" customFormat="1" ht="15" customHeight="1">
      <c r="A2282" s="10">
        <v>42998</v>
      </c>
      <c r="B2282" s="3" t="s">
        <v>181</v>
      </c>
      <c r="C2282" s="15" t="s">
        <v>47</v>
      </c>
      <c r="D2282" s="15">
        <v>1320</v>
      </c>
      <c r="E2282" s="11">
        <v>800</v>
      </c>
      <c r="F2282" s="3" t="s">
        <v>8</v>
      </c>
      <c r="G2282" s="46">
        <v>21.5</v>
      </c>
      <c r="H2282" s="3">
        <v>24.5</v>
      </c>
      <c r="I2282" s="46">
        <v>0</v>
      </c>
      <c r="J2282" s="55">
        <v>0</v>
      </c>
      <c r="K2282" s="1">
        <f t="shared" si="3239"/>
        <v>2400</v>
      </c>
      <c r="L2282" s="51">
        <v>0</v>
      </c>
      <c r="M2282" s="52">
        <v>0</v>
      </c>
      <c r="N2282" s="2">
        <f t="shared" si="3198"/>
        <v>3</v>
      </c>
      <c r="O2282" s="2">
        <f t="shared" si="3225"/>
        <v>2400</v>
      </c>
      <c r="P2282" s="13"/>
      <c r="Q2282" s="13"/>
      <c r="R2282" s="13"/>
      <c r="S2282" s="13"/>
      <c r="T2282" s="13"/>
      <c r="U2282" s="13"/>
      <c r="V2282" s="13"/>
      <c r="W2282" s="13"/>
      <c r="X2282" s="13"/>
      <c r="Y2282" s="13"/>
      <c r="Z2282" s="13"/>
      <c r="AA2282" s="13"/>
      <c r="AB2282" s="13"/>
      <c r="AC2282" s="13"/>
      <c r="AD2282" s="13"/>
      <c r="AE2282" s="13"/>
      <c r="AF2282" s="13"/>
      <c r="AG2282" s="13"/>
    </row>
    <row r="2283" spans="1:33" s="14" customFormat="1" ht="15" customHeight="1">
      <c r="A2283" s="10">
        <v>42997</v>
      </c>
      <c r="B2283" s="3" t="s">
        <v>194</v>
      </c>
      <c r="C2283" s="15" t="s">
        <v>46</v>
      </c>
      <c r="D2283" s="15">
        <v>390</v>
      </c>
      <c r="E2283" s="11">
        <v>1700</v>
      </c>
      <c r="F2283" s="3" t="s">
        <v>8</v>
      </c>
      <c r="G2283" s="46">
        <v>10.25</v>
      </c>
      <c r="H2283" s="3">
        <v>11.25</v>
      </c>
      <c r="I2283" s="46">
        <v>0</v>
      </c>
      <c r="J2283" s="55">
        <v>0</v>
      </c>
      <c r="K2283" s="1">
        <f t="shared" ref="K2283" si="3241">(IF(F2283="SELL",G2283-H2283,IF(F2283="BUY",H2283-G2283)))*E2283</f>
        <v>1700</v>
      </c>
      <c r="L2283" s="51">
        <v>0</v>
      </c>
      <c r="M2283" s="52">
        <f>(IF(F2283="SELL",IF(J2283="",0,I2283-J2283),IF(F2283="BUY",IF(J2283="",0,(J2283-I2283)))))*E2283</f>
        <v>0</v>
      </c>
      <c r="N2283" s="2">
        <f t="shared" si="3198"/>
        <v>1</v>
      </c>
      <c r="O2283" s="2">
        <f t="shared" si="3225"/>
        <v>1700</v>
      </c>
      <c r="P2283" s="13"/>
      <c r="Q2283" s="13"/>
      <c r="R2283" s="13"/>
      <c r="S2283" s="13"/>
      <c r="T2283" s="13"/>
      <c r="U2283" s="13"/>
      <c r="V2283" s="13"/>
      <c r="W2283" s="13"/>
      <c r="X2283" s="13"/>
      <c r="Y2283" s="13"/>
      <c r="Z2283" s="13"/>
      <c r="AA2283" s="13"/>
      <c r="AB2283" s="13"/>
      <c r="AC2283" s="13"/>
      <c r="AD2283" s="13"/>
      <c r="AE2283" s="13"/>
      <c r="AF2283" s="13"/>
      <c r="AG2283" s="13"/>
    </row>
    <row r="2284" spans="1:33" s="14" customFormat="1" ht="15" customHeight="1">
      <c r="A2284" s="10">
        <v>42997</v>
      </c>
      <c r="B2284" s="3" t="s">
        <v>101</v>
      </c>
      <c r="C2284" s="15" t="s">
        <v>47</v>
      </c>
      <c r="D2284" s="15">
        <v>1030</v>
      </c>
      <c r="E2284" s="11">
        <v>800</v>
      </c>
      <c r="F2284" s="3" t="s">
        <v>8</v>
      </c>
      <c r="G2284" s="46">
        <v>16</v>
      </c>
      <c r="H2284" s="3">
        <v>18</v>
      </c>
      <c r="I2284" s="46">
        <v>21.5</v>
      </c>
      <c r="J2284" s="55">
        <v>0</v>
      </c>
      <c r="K2284" s="1">
        <f t="shared" ref="K2284" si="3242">(IF(F2284="SELL",G2284-H2284,IF(F2284="BUY",H2284-G2284)))*E2284</f>
        <v>1600</v>
      </c>
      <c r="L2284" s="51">
        <f t="shared" ref="L2284" si="3243">(IF(F2284="SELL",IF(I2284="",0,H2284-I2284),IF(F2284="BUY",IF(I2284="",0,I2284-H2284))))*E2284</f>
        <v>2800</v>
      </c>
      <c r="M2284" s="52">
        <v>0</v>
      </c>
      <c r="N2284" s="2">
        <f t="shared" si="3198"/>
        <v>5.5</v>
      </c>
      <c r="O2284" s="2">
        <f t="shared" si="3225"/>
        <v>4400</v>
      </c>
      <c r="P2284" s="13"/>
      <c r="Q2284" s="13"/>
      <c r="R2284" s="13"/>
      <c r="S2284" s="13"/>
      <c r="T2284" s="13"/>
      <c r="U2284" s="13"/>
      <c r="V2284" s="13"/>
      <c r="W2284" s="13"/>
      <c r="X2284" s="13"/>
      <c r="Y2284" s="13"/>
      <c r="Z2284" s="13"/>
      <c r="AA2284" s="13"/>
      <c r="AB2284" s="13"/>
      <c r="AC2284" s="13"/>
      <c r="AD2284" s="13"/>
      <c r="AE2284" s="13"/>
      <c r="AF2284" s="13"/>
      <c r="AG2284" s="13"/>
    </row>
    <row r="2285" spans="1:33" s="14" customFormat="1" ht="15" customHeight="1">
      <c r="A2285" s="10">
        <v>42997</v>
      </c>
      <c r="B2285" s="3" t="s">
        <v>193</v>
      </c>
      <c r="C2285" s="15" t="s">
        <v>47</v>
      </c>
      <c r="D2285" s="15">
        <v>1460</v>
      </c>
      <c r="E2285" s="11">
        <v>550</v>
      </c>
      <c r="F2285" s="3" t="s">
        <v>8</v>
      </c>
      <c r="G2285" s="46">
        <v>30</v>
      </c>
      <c r="H2285" s="3">
        <v>35</v>
      </c>
      <c r="I2285" s="46">
        <v>0</v>
      </c>
      <c r="J2285" s="55">
        <v>0</v>
      </c>
      <c r="K2285" s="1">
        <f t="shared" ref="K2285" si="3244">(IF(F2285="SELL",G2285-H2285,IF(F2285="BUY",H2285-G2285)))*E2285</f>
        <v>2750</v>
      </c>
      <c r="L2285" s="51">
        <v>0</v>
      </c>
      <c r="M2285" s="52">
        <f>(IF(F2285="SELL",IF(J2285="",0,I2285-J2285),IF(F2285="BUY",IF(J2285="",0,(J2285-I2285)))))*E2285</f>
        <v>0</v>
      </c>
      <c r="N2285" s="2">
        <f t="shared" si="3198"/>
        <v>5</v>
      </c>
      <c r="O2285" s="2">
        <f t="shared" si="3225"/>
        <v>2750</v>
      </c>
      <c r="P2285" s="13"/>
      <c r="Q2285" s="13"/>
      <c r="R2285" s="13"/>
      <c r="S2285" s="13"/>
      <c r="T2285" s="13"/>
      <c r="U2285" s="13"/>
      <c r="V2285" s="13"/>
      <c r="W2285" s="13"/>
      <c r="X2285" s="13"/>
      <c r="Y2285" s="13"/>
      <c r="Z2285" s="13"/>
      <c r="AA2285" s="13"/>
      <c r="AB2285" s="13"/>
      <c r="AC2285" s="13"/>
      <c r="AD2285" s="13"/>
      <c r="AE2285" s="13"/>
      <c r="AF2285" s="13"/>
      <c r="AG2285" s="13"/>
    </row>
    <row r="2286" spans="1:33" s="14" customFormat="1" ht="15" customHeight="1">
      <c r="A2286" s="10">
        <v>42996</v>
      </c>
      <c r="B2286" s="3" t="s">
        <v>192</v>
      </c>
      <c r="C2286" s="15" t="s">
        <v>47</v>
      </c>
      <c r="D2286" s="15">
        <v>1060</v>
      </c>
      <c r="E2286" s="11">
        <v>1100</v>
      </c>
      <c r="F2286" s="3" t="s">
        <v>8</v>
      </c>
      <c r="G2286" s="46">
        <v>26</v>
      </c>
      <c r="H2286" s="3">
        <v>22</v>
      </c>
      <c r="I2286" s="46">
        <v>0</v>
      </c>
      <c r="J2286" s="55">
        <v>0</v>
      </c>
      <c r="K2286" s="1">
        <f t="shared" ref="K2286" si="3245">(IF(F2286="SELL",G2286-H2286,IF(F2286="BUY",H2286-G2286)))*E2286</f>
        <v>-4400</v>
      </c>
      <c r="L2286" s="51">
        <v>0</v>
      </c>
      <c r="M2286" s="52">
        <f>(IF(F2286="SELL",IF(J2286="",0,I2286-J2286),IF(F2286="BUY",IF(J2286="",0,(J2286-I2286)))))*E2286</f>
        <v>0</v>
      </c>
      <c r="N2286" s="2">
        <f t="shared" si="3198"/>
        <v>-4</v>
      </c>
      <c r="O2286" s="2">
        <f t="shared" si="3225"/>
        <v>-4400</v>
      </c>
      <c r="P2286" s="13"/>
      <c r="Q2286" s="13"/>
      <c r="R2286" s="13"/>
      <c r="S2286" s="13"/>
      <c r="T2286" s="13"/>
      <c r="U2286" s="13"/>
      <c r="V2286" s="13"/>
      <c r="W2286" s="13"/>
      <c r="X2286" s="13"/>
      <c r="Y2286" s="13"/>
      <c r="Z2286" s="13"/>
      <c r="AA2286" s="13"/>
      <c r="AB2286" s="13"/>
      <c r="AC2286" s="13"/>
      <c r="AD2286" s="13"/>
      <c r="AE2286" s="13"/>
      <c r="AF2286" s="13"/>
      <c r="AG2286" s="13"/>
    </row>
    <row r="2287" spans="1:33" s="14" customFormat="1" ht="15" customHeight="1">
      <c r="A2287" s="10">
        <v>42996</v>
      </c>
      <c r="B2287" s="3" t="s">
        <v>139</v>
      </c>
      <c r="C2287" s="15" t="s">
        <v>47</v>
      </c>
      <c r="D2287" s="15">
        <v>1400</v>
      </c>
      <c r="E2287" s="11">
        <v>500</v>
      </c>
      <c r="F2287" s="3" t="s">
        <v>8</v>
      </c>
      <c r="G2287" s="46">
        <v>34</v>
      </c>
      <c r="H2287" s="3">
        <v>37</v>
      </c>
      <c r="I2287" s="46">
        <v>40</v>
      </c>
      <c r="J2287" s="55">
        <v>45</v>
      </c>
      <c r="K2287" s="1">
        <f t="shared" ref="K2287" si="3246">(IF(F2287="SELL",G2287-H2287,IF(F2287="BUY",H2287-G2287)))*E2287</f>
        <v>1500</v>
      </c>
      <c r="L2287" s="51">
        <f t="shared" ref="L2287" si="3247">(IF(F2287="SELL",IF(I2287="",0,H2287-I2287),IF(F2287="BUY",IF(I2287="",0,I2287-H2287))))*E2287</f>
        <v>1500</v>
      </c>
      <c r="M2287" s="52">
        <f>(IF(F2287="SELL",IF(J2287="",0,I2287-J2287),IF(F2287="BUY",IF(J2287="",0,(J2287-I2287)))))*E2287</f>
        <v>2500</v>
      </c>
      <c r="N2287" s="2">
        <f t="shared" si="3198"/>
        <v>11</v>
      </c>
      <c r="O2287" s="2">
        <f t="shared" si="3225"/>
        <v>5500</v>
      </c>
      <c r="P2287" s="13"/>
      <c r="Q2287" s="13"/>
      <c r="R2287" s="13"/>
      <c r="S2287" s="13"/>
      <c r="T2287" s="13"/>
      <c r="U2287" s="13"/>
      <c r="V2287" s="13"/>
      <c r="W2287" s="13"/>
      <c r="X2287" s="13"/>
      <c r="Y2287" s="13"/>
      <c r="Z2287" s="13"/>
      <c r="AA2287" s="13"/>
      <c r="AB2287" s="13"/>
      <c r="AC2287" s="13"/>
      <c r="AD2287" s="13"/>
      <c r="AE2287" s="13"/>
      <c r="AF2287" s="13"/>
      <c r="AG2287" s="13"/>
    </row>
    <row r="2288" spans="1:33" s="14" customFormat="1" ht="15" customHeight="1">
      <c r="A2288" s="10">
        <v>42993</v>
      </c>
      <c r="B2288" s="3" t="s">
        <v>151</v>
      </c>
      <c r="C2288" s="15" t="s">
        <v>46</v>
      </c>
      <c r="D2288" s="15">
        <v>650</v>
      </c>
      <c r="E2288" s="11">
        <v>1100</v>
      </c>
      <c r="F2288" s="3" t="s">
        <v>8</v>
      </c>
      <c r="G2288" s="46">
        <v>12.5</v>
      </c>
      <c r="H2288" s="3">
        <v>14</v>
      </c>
      <c r="I2288" s="46">
        <v>0</v>
      </c>
      <c r="J2288" s="55">
        <v>0</v>
      </c>
      <c r="K2288" s="1">
        <f t="shared" ref="K2288" si="3248">(IF(F2288="SELL",G2288-H2288,IF(F2288="BUY",H2288-G2288)))*E2288</f>
        <v>1650</v>
      </c>
      <c r="L2288" s="51">
        <v>0</v>
      </c>
      <c r="M2288" s="52">
        <v>0</v>
      </c>
      <c r="N2288" s="2">
        <f t="shared" si="3198"/>
        <v>1.5</v>
      </c>
      <c r="O2288" s="2">
        <f t="shared" si="3225"/>
        <v>1650</v>
      </c>
      <c r="P2288" s="13"/>
      <c r="Q2288" s="13"/>
      <c r="R2288" s="13"/>
      <c r="S2288" s="13"/>
      <c r="T2288" s="13"/>
      <c r="U2288" s="13"/>
      <c r="V2288" s="13"/>
      <c r="W2288" s="13"/>
      <c r="X2288" s="13"/>
      <c r="Y2288" s="13"/>
      <c r="Z2288" s="13"/>
      <c r="AA2288" s="13"/>
      <c r="AB2288" s="13"/>
      <c r="AC2288" s="13"/>
      <c r="AD2288" s="13"/>
      <c r="AE2288" s="13"/>
      <c r="AF2288" s="13"/>
      <c r="AG2288" s="13"/>
    </row>
    <row r="2289" spans="1:33" s="14" customFormat="1" ht="15" customHeight="1">
      <c r="A2289" s="10">
        <v>42992</v>
      </c>
      <c r="B2289" s="3" t="s">
        <v>60</v>
      </c>
      <c r="C2289" s="15" t="s">
        <v>46</v>
      </c>
      <c r="D2289" s="15">
        <v>320</v>
      </c>
      <c r="E2289" s="11">
        <v>3500</v>
      </c>
      <c r="F2289" s="3" t="s">
        <v>8</v>
      </c>
      <c r="G2289" s="46">
        <v>5.5</v>
      </c>
      <c r="H2289" s="3">
        <v>6</v>
      </c>
      <c r="I2289" s="46">
        <v>7</v>
      </c>
      <c r="J2289" s="55">
        <v>8</v>
      </c>
      <c r="K2289" s="1">
        <f t="shared" ref="K2289" si="3249">(IF(F2289="SELL",G2289-H2289,IF(F2289="BUY",H2289-G2289)))*E2289</f>
        <v>1750</v>
      </c>
      <c r="L2289" s="51">
        <f t="shared" ref="L2289" si="3250">(IF(F2289="SELL",IF(I2289="",0,H2289-I2289),IF(F2289="BUY",IF(I2289="",0,I2289-H2289))))*E2289</f>
        <v>3500</v>
      </c>
      <c r="M2289" s="52">
        <f t="shared" ref="M2289:M2295" si="3251">(IF(F2289="SELL",IF(J2289="",0,I2289-J2289),IF(F2289="BUY",IF(J2289="",0,(J2289-I2289)))))*E2289</f>
        <v>3500</v>
      </c>
      <c r="N2289" s="2">
        <f t="shared" si="3198"/>
        <v>2.5</v>
      </c>
      <c r="O2289" s="2">
        <f t="shared" si="3225"/>
        <v>8750</v>
      </c>
      <c r="P2289" s="13"/>
      <c r="Q2289" s="13"/>
      <c r="R2289" s="13"/>
      <c r="S2289" s="13"/>
      <c r="T2289" s="13"/>
      <c r="U2289" s="13"/>
      <c r="V2289" s="13"/>
      <c r="W2289" s="13"/>
      <c r="X2289" s="13"/>
      <c r="Y2289" s="13"/>
      <c r="Z2289" s="13"/>
      <c r="AA2289" s="13"/>
      <c r="AB2289" s="13"/>
      <c r="AC2289" s="13"/>
      <c r="AD2289" s="13"/>
      <c r="AE2289" s="13"/>
      <c r="AF2289" s="13"/>
      <c r="AG2289" s="13"/>
    </row>
    <row r="2290" spans="1:33" s="14" customFormat="1" ht="15" customHeight="1">
      <c r="A2290" s="10">
        <v>42992</v>
      </c>
      <c r="B2290" s="3" t="s">
        <v>77</v>
      </c>
      <c r="C2290" s="15" t="s">
        <v>46</v>
      </c>
      <c r="D2290" s="15">
        <v>410</v>
      </c>
      <c r="E2290" s="11">
        <v>2000</v>
      </c>
      <c r="F2290" s="3" t="s">
        <v>8</v>
      </c>
      <c r="G2290" s="46">
        <v>10.5</v>
      </c>
      <c r="H2290" s="3">
        <v>11.5</v>
      </c>
      <c r="I2290" s="46">
        <v>13</v>
      </c>
      <c r="J2290" s="55">
        <v>15</v>
      </c>
      <c r="K2290" s="1">
        <f t="shared" ref="K2290" si="3252">(IF(F2290="SELL",G2290-H2290,IF(F2290="BUY",H2290-G2290)))*E2290</f>
        <v>2000</v>
      </c>
      <c r="L2290" s="51">
        <f t="shared" ref="L2290" si="3253">(IF(F2290="SELL",IF(I2290="",0,H2290-I2290),IF(F2290="BUY",IF(I2290="",0,I2290-H2290))))*E2290</f>
        <v>3000</v>
      </c>
      <c r="M2290" s="52">
        <f t="shared" si="3251"/>
        <v>4000</v>
      </c>
      <c r="N2290" s="2">
        <f t="shared" si="3198"/>
        <v>4.5</v>
      </c>
      <c r="O2290" s="2">
        <f t="shared" si="3225"/>
        <v>9000</v>
      </c>
      <c r="P2290" s="13"/>
      <c r="Q2290" s="13"/>
      <c r="R2290" s="13"/>
      <c r="S2290" s="13"/>
      <c r="T2290" s="13"/>
      <c r="U2290" s="13"/>
      <c r="V2290" s="13"/>
      <c r="W2290" s="13"/>
      <c r="X2290" s="13"/>
      <c r="Y2290" s="13"/>
      <c r="Z2290" s="13"/>
      <c r="AA2290" s="13"/>
      <c r="AB2290" s="13"/>
      <c r="AC2290" s="13"/>
      <c r="AD2290" s="13"/>
      <c r="AE2290" s="13"/>
      <c r="AF2290" s="13"/>
      <c r="AG2290" s="13"/>
    </row>
    <row r="2291" spans="1:33" s="14" customFormat="1" ht="15" customHeight="1">
      <c r="A2291" s="10">
        <v>42991</v>
      </c>
      <c r="B2291" s="3" t="s">
        <v>58</v>
      </c>
      <c r="C2291" s="15" t="s">
        <v>46</v>
      </c>
      <c r="D2291" s="15">
        <v>560</v>
      </c>
      <c r="E2291" s="11">
        <v>2000</v>
      </c>
      <c r="F2291" s="3" t="s">
        <v>8</v>
      </c>
      <c r="G2291" s="46">
        <v>13</v>
      </c>
      <c r="H2291" s="3">
        <v>14</v>
      </c>
      <c r="I2291" s="46">
        <v>16</v>
      </c>
      <c r="J2291" s="55">
        <v>18</v>
      </c>
      <c r="K2291" s="1">
        <f t="shared" ref="K2291" si="3254">(IF(F2291="SELL",G2291-H2291,IF(F2291="BUY",H2291-G2291)))*E2291</f>
        <v>2000</v>
      </c>
      <c r="L2291" s="51">
        <f t="shared" ref="L2291" si="3255">(IF(F2291="SELL",IF(I2291="",0,H2291-I2291),IF(F2291="BUY",IF(I2291="",0,I2291-H2291))))*E2291</f>
        <v>4000</v>
      </c>
      <c r="M2291" s="52">
        <f t="shared" si="3251"/>
        <v>4000</v>
      </c>
      <c r="N2291" s="2">
        <f t="shared" si="3198"/>
        <v>5</v>
      </c>
      <c r="O2291" s="2">
        <f t="shared" si="3225"/>
        <v>10000</v>
      </c>
      <c r="P2291" s="13"/>
      <c r="Q2291" s="13"/>
      <c r="R2291" s="13"/>
      <c r="S2291" s="13"/>
      <c r="T2291" s="13"/>
      <c r="U2291" s="13"/>
      <c r="V2291" s="13"/>
      <c r="W2291" s="13"/>
      <c r="X2291" s="13"/>
      <c r="Y2291" s="13"/>
      <c r="Z2291" s="13"/>
      <c r="AA2291" s="13"/>
      <c r="AB2291" s="13"/>
      <c r="AC2291" s="13"/>
      <c r="AD2291" s="13"/>
      <c r="AE2291" s="13"/>
      <c r="AF2291" s="13"/>
      <c r="AG2291" s="13"/>
    </row>
    <row r="2292" spans="1:33" s="14" customFormat="1" ht="15" customHeight="1">
      <c r="A2292" s="10">
        <v>42991</v>
      </c>
      <c r="B2292" s="3" t="s">
        <v>176</v>
      </c>
      <c r="C2292" s="15" t="s">
        <v>46</v>
      </c>
      <c r="D2292" s="15">
        <v>710</v>
      </c>
      <c r="E2292" s="11">
        <v>1100</v>
      </c>
      <c r="F2292" s="3" t="s">
        <v>8</v>
      </c>
      <c r="G2292" s="46">
        <v>15</v>
      </c>
      <c r="H2292" s="3">
        <v>16</v>
      </c>
      <c r="I2292" s="46">
        <v>0</v>
      </c>
      <c r="J2292" s="55">
        <v>0</v>
      </c>
      <c r="K2292" s="1">
        <f t="shared" ref="K2292" si="3256">(IF(F2292="SELL",G2292-H2292,IF(F2292="BUY",H2292-G2292)))*E2292</f>
        <v>1100</v>
      </c>
      <c r="L2292" s="51">
        <v>0</v>
      </c>
      <c r="M2292" s="52">
        <f t="shared" si="3251"/>
        <v>0</v>
      </c>
      <c r="N2292" s="2">
        <f t="shared" si="3198"/>
        <v>1</v>
      </c>
      <c r="O2292" s="2">
        <f t="shared" si="3225"/>
        <v>1100</v>
      </c>
      <c r="P2292" s="13"/>
      <c r="Q2292" s="13"/>
      <c r="R2292" s="13"/>
      <c r="S2292" s="13"/>
      <c r="T2292" s="13"/>
      <c r="U2292" s="13"/>
      <c r="V2292" s="13"/>
      <c r="W2292" s="13"/>
      <c r="X2292" s="13"/>
      <c r="Y2292" s="13"/>
      <c r="Z2292" s="13"/>
      <c r="AA2292" s="13"/>
      <c r="AB2292" s="13"/>
      <c r="AC2292" s="13"/>
      <c r="AD2292" s="13"/>
      <c r="AE2292" s="13"/>
      <c r="AF2292" s="13"/>
      <c r="AG2292" s="13"/>
    </row>
    <row r="2293" spans="1:33" s="14" customFormat="1" ht="15" customHeight="1">
      <c r="A2293" s="10">
        <v>42990</v>
      </c>
      <c r="B2293" s="3" t="s">
        <v>191</v>
      </c>
      <c r="C2293" s="15" t="s">
        <v>47</v>
      </c>
      <c r="D2293" s="15">
        <v>260</v>
      </c>
      <c r="E2293" s="11">
        <v>3000</v>
      </c>
      <c r="F2293" s="3" t="s">
        <v>8</v>
      </c>
      <c r="G2293" s="46">
        <v>7.7</v>
      </c>
      <c r="H2293" s="3">
        <v>8.3000000000000007</v>
      </c>
      <c r="I2293" s="46">
        <v>9</v>
      </c>
      <c r="J2293" s="55">
        <v>10</v>
      </c>
      <c r="K2293" s="1">
        <f t="shared" ref="K2293" si="3257">(IF(F2293="SELL",G2293-H2293,IF(F2293="BUY",H2293-G2293)))*E2293</f>
        <v>1800.0000000000016</v>
      </c>
      <c r="L2293" s="51">
        <f t="shared" ref="L2293" si="3258">(IF(F2293="SELL",IF(I2293="",0,H2293-I2293),IF(F2293="BUY",IF(I2293="",0,I2293-H2293))))*E2293</f>
        <v>2099.9999999999977</v>
      </c>
      <c r="M2293" s="52">
        <f t="shared" si="3251"/>
        <v>3000</v>
      </c>
      <c r="N2293" s="2">
        <f t="shared" si="3198"/>
        <v>2.2999999999999998</v>
      </c>
      <c r="O2293" s="2">
        <f t="shared" si="3225"/>
        <v>6899.9999999999991</v>
      </c>
      <c r="P2293" s="13"/>
      <c r="Q2293" s="13"/>
      <c r="R2293" s="13"/>
      <c r="S2293" s="13"/>
      <c r="T2293" s="13"/>
      <c r="U2293" s="13"/>
      <c r="V2293" s="13"/>
      <c r="W2293" s="13"/>
      <c r="X2293" s="13"/>
      <c r="Y2293" s="13"/>
      <c r="Z2293" s="13"/>
      <c r="AA2293" s="13"/>
      <c r="AB2293" s="13"/>
      <c r="AC2293" s="13"/>
      <c r="AD2293" s="13"/>
      <c r="AE2293" s="13"/>
      <c r="AF2293" s="13"/>
      <c r="AG2293" s="13"/>
    </row>
    <row r="2294" spans="1:33" s="14" customFormat="1" ht="15" customHeight="1">
      <c r="A2294" s="10">
        <v>42990</v>
      </c>
      <c r="B2294" s="3" t="s">
        <v>96</v>
      </c>
      <c r="C2294" s="15" t="s">
        <v>47</v>
      </c>
      <c r="D2294" s="15">
        <v>1300</v>
      </c>
      <c r="E2294" s="11">
        <v>500</v>
      </c>
      <c r="F2294" s="3" t="s">
        <v>8</v>
      </c>
      <c r="G2294" s="46">
        <v>23</v>
      </c>
      <c r="H2294" s="3">
        <v>26</v>
      </c>
      <c r="I2294" s="46">
        <v>0</v>
      </c>
      <c r="J2294" s="55">
        <v>0</v>
      </c>
      <c r="K2294" s="1">
        <f t="shared" ref="K2294" si="3259">(IF(F2294="SELL",G2294-H2294,IF(F2294="BUY",H2294-G2294)))*E2294</f>
        <v>1500</v>
      </c>
      <c r="L2294" s="51">
        <v>0</v>
      </c>
      <c r="M2294" s="52">
        <f t="shared" si="3251"/>
        <v>0</v>
      </c>
      <c r="N2294" s="2">
        <f t="shared" si="3198"/>
        <v>3</v>
      </c>
      <c r="O2294" s="2">
        <f t="shared" si="3225"/>
        <v>1500</v>
      </c>
      <c r="P2294" s="13"/>
      <c r="Q2294" s="13"/>
      <c r="R2294" s="13"/>
      <c r="S2294" s="13"/>
      <c r="T2294" s="13"/>
      <c r="U2294" s="13"/>
      <c r="V2294" s="13"/>
      <c r="W2294" s="13"/>
      <c r="X2294" s="13"/>
      <c r="Y2294" s="13"/>
      <c r="Z2294" s="13"/>
      <c r="AA2294" s="13"/>
      <c r="AB2294" s="13"/>
      <c r="AC2294" s="13"/>
      <c r="AD2294" s="13"/>
      <c r="AE2294" s="13"/>
      <c r="AF2294" s="13"/>
      <c r="AG2294" s="13"/>
    </row>
    <row r="2295" spans="1:33" s="14" customFormat="1" ht="15" customHeight="1">
      <c r="A2295" s="10">
        <v>42989</v>
      </c>
      <c r="B2295" s="3" t="s">
        <v>190</v>
      </c>
      <c r="C2295" s="15" t="s">
        <v>47</v>
      </c>
      <c r="D2295" s="15">
        <v>700</v>
      </c>
      <c r="E2295" s="11">
        <v>1100</v>
      </c>
      <c r="F2295" s="3" t="s">
        <v>8</v>
      </c>
      <c r="G2295" s="46">
        <v>21</v>
      </c>
      <c r="H2295" s="3">
        <v>23</v>
      </c>
      <c r="I2295" s="46">
        <v>26</v>
      </c>
      <c r="J2295" s="55">
        <v>30</v>
      </c>
      <c r="K2295" s="1">
        <f t="shared" ref="K2295" si="3260">(IF(F2295="SELL",G2295-H2295,IF(F2295="BUY",H2295-G2295)))*E2295</f>
        <v>2200</v>
      </c>
      <c r="L2295" s="51">
        <f t="shared" ref="L2295" si="3261">(IF(F2295="SELL",IF(I2295="",0,H2295-I2295),IF(F2295="BUY",IF(I2295="",0,I2295-H2295))))*E2295</f>
        <v>3300</v>
      </c>
      <c r="M2295" s="52">
        <f t="shared" si="3251"/>
        <v>4400</v>
      </c>
      <c r="N2295" s="2">
        <f t="shared" si="3198"/>
        <v>9</v>
      </c>
      <c r="O2295" s="2">
        <f t="shared" si="3225"/>
        <v>9900</v>
      </c>
      <c r="P2295" s="13"/>
      <c r="Q2295" s="13"/>
      <c r="R2295" s="13"/>
      <c r="S2295" s="13"/>
      <c r="T2295" s="13"/>
      <c r="U2295" s="13"/>
      <c r="V2295" s="13"/>
      <c r="W2295" s="13"/>
      <c r="X2295" s="13"/>
      <c r="Y2295" s="13"/>
      <c r="Z2295" s="13"/>
      <c r="AA2295" s="13"/>
      <c r="AB2295" s="13"/>
      <c r="AC2295" s="13"/>
      <c r="AD2295" s="13"/>
      <c r="AE2295" s="13"/>
      <c r="AF2295" s="13"/>
      <c r="AG2295" s="13"/>
    </row>
    <row r="2296" spans="1:33" s="14" customFormat="1" ht="15" customHeight="1">
      <c r="A2296" s="10">
        <v>42989</v>
      </c>
      <c r="B2296" s="3" t="s">
        <v>189</v>
      </c>
      <c r="C2296" s="15" t="s">
        <v>47</v>
      </c>
      <c r="D2296" s="15">
        <v>780</v>
      </c>
      <c r="E2296" s="11">
        <v>1500</v>
      </c>
      <c r="F2296" s="3" t="s">
        <v>8</v>
      </c>
      <c r="G2296" s="46">
        <v>20</v>
      </c>
      <c r="H2296" s="3">
        <v>21.5</v>
      </c>
      <c r="I2296" s="46">
        <v>0</v>
      </c>
      <c r="J2296" s="55">
        <v>0</v>
      </c>
      <c r="K2296" s="1">
        <f t="shared" ref="K2296" si="3262">(IF(F2296="SELL",G2296-H2296,IF(F2296="BUY",H2296-G2296)))*E2296</f>
        <v>2250</v>
      </c>
      <c r="L2296" s="51">
        <v>0</v>
      </c>
      <c r="M2296" s="52">
        <v>0</v>
      </c>
      <c r="N2296" s="2">
        <f t="shared" si="3198"/>
        <v>1.5</v>
      </c>
      <c r="O2296" s="2">
        <f t="shared" si="3225"/>
        <v>2250</v>
      </c>
      <c r="P2296" s="13"/>
      <c r="Q2296" s="13"/>
      <c r="R2296" s="13"/>
      <c r="S2296" s="13"/>
      <c r="T2296" s="13"/>
      <c r="U2296" s="13"/>
      <c r="V2296" s="13"/>
      <c r="W2296" s="13"/>
      <c r="X2296" s="13"/>
      <c r="Y2296" s="13"/>
      <c r="Z2296" s="13"/>
      <c r="AA2296" s="13"/>
      <c r="AB2296" s="13"/>
      <c r="AC2296" s="13"/>
      <c r="AD2296" s="13"/>
      <c r="AE2296" s="13"/>
      <c r="AF2296" s="13"/>
      <c r="AG2296" s="13"/>
    </row>
    <row r="2297" spans="1:33" s="14" customFormat="1" ht="15" customHeight="1">
      <c r="A2297" s="10">
        <v>42986</v>
      </c>
      <c r="B2297" s="3" t="s">
        <v>188</v>
      </c>
      <c r="C2297" s="15" t="s">
        <v>46</v>
      </c>
      <c r="D2297" s="15">
        <v>280</v>
      </c>
      <c r="E2297" s="11">
        <v>2000</v>
      </c>
      <c r="F2297" s="3" t="s">
        <v>8</v>
      </c>
      <c r="G2297" s="46">
        <v>10.5</v>
      </c>
      <c r="H2297" s="3">
        <v>11.5</v>
      </c>
      <c r="I2297" s="46">
        <v>13</v>
      </c>
      <c r="J2297" s="55">
        <v>0</v>
      </c>
      <c r="K2297" s="1">
        <f t="shared" ref="K2297" si="3263">(IF(F2297="SELL",G2297-H2297,IF(F2297="BUY",H2297-G2297)))*E2297</f>
        <v>2000</v>
      </c>
      <c r="L2297" s="51">
        <f t="shared" ref="L2297" si="3264">(IF(F2297="SELL",IF(I2297="",0,H2297-I2297),IF(F2297="BUY",IF(I2297="",0,I2297-H2297))))*E2297</f>
        <v>3000</v>
      </c>
      <c r="M2297" s="52">
        <v>0</v>
      </c>
      <c r="N2297" s="2">
        <f t="shared" si="3198"/>
        <v>2.5</v>
      </c>
      <c r="O2297" s="2">
        <f t="shared" si="3225"/>
        <v>5000</v>
      </c>
      <c r="P2297" s="13"/>
      <c r="Q2297" s="13"/>
      <c r="R2297" s="13"/>
      <c r="S2297" s="13"/>
      <c r="T2297" s="13"/>
      <c r="U2297" s="13"/>
      <c r="V2297" s="13"/>
      <c r="W2297" s="13"/>
      <c r="X2297" s="13"/>
      <c r="Y2297" s="13"/>
      <c r="Z2297" s="13"/>
      <c r="AA2297" s="13"/>
      <c r="AB2297" s="13"/>
      <c r="AC2297" s="13"/>
      <c r="AD2297" s="13"/>
      <c r="AE2297" s="13"/>
      <c r="AF2297" s="13"/>
      <c r="AG2297" s="13"/>
    </row>
    <row r="2298" spans="1:33" s="14" customFormat="1" ht="15" customHeight="1">
      <c r="A2298" s="10">
        <v>42986</v>
      </c>
      <c r="B2298" s="3" t="s">
        <v>187</v>
      </c>
      <c r="C2298" s="15" t="s">
        <v>46</v>
      </c>
      <c r="D2298" s="15">
        <v>920</v>
      </c>
      <c r="E2298" s="11">
        <v>1000</v>
      </c>
      <c r="F2298" s="3" t="s">
        <v>8</v>
      </c>
      <c r="G2298" s="46">
        <v>25.5</v>
      </c>
      <c r="H2298" s="3">
        <v>27</v>
      </c>
      <c r="I2298" s="46">
        <v>29.5</v>
      </c>
      <c r="J2298" s="55">
        <v>0</v>
      </c>
      <c r="K2298" s="1">
        <f t="shared" ref="K2298" si="3265">(IF(F2298="SELL",G2298-H2298,IF(F2298="BUY",H2298-G2298)))*E2298</f>
        <v>1500</v>
      </c>
      <c r="L2298" s="51">
        <f t="shared" ref="L2298:L2306" si="3266">(IF(F2298="SELL",IF(I2298="",0,H2298-I2298),IF(F2298="BUY",IF(I2298="",0,I2298-H2298))))*E2298</f>
        <v>2500</v>
      </c>
      <c r="M2298" s="52">
        <v>0</v>
      </c>
      <c r="N2298" s="2">
        <f t="shared" si="3198"/>
        <v>4</v>
      </c>
      <c r="O2298" s="2">
        <f t="shared" si="3225"/>
        <v>4000</v>
      </c>
      <c r="P2298" s="13"/>
      <c r="Q2298" s="13"/>
      <c r="R2298" s="13"/>
      <c r="S2298" s="13"/>
      <c r="T2298" s="13"/>
      <c r="U2298" s="13"/>
      <c r="V2298" s="13"/>
      <c r="W2298" s="13"/>
      <c r="X2298" s="13"/>
      <c r="Y2298" s="13"/>
      <c r="Z2298" s="13"/>
      <c r="AA2298" s="13"/>
      <c r="AB2298" s="13"/>
      <c r="AC2298" s="13"/>
      <c r="AD2298" s="13"/>
      <c r="AE2298" s="13"/>
      <c r="AF2298" s="13"/>
      <c r="AG2298" s="13"/>
    </row>
    <row r="2299" spans="1:33" s="14" customFormat="1" ht="15" customHeight="1">
      <c r="A2299" s="10">
        <v>42985</v>
      </c>
      <c r="B2299" s="3" t="s">
        <v>96</v>
      </c>
      <c r="C2299" s="15" t="s">
        <v>47</v>
      </c>
      <c r="D2299" s="15">
        <v>1360</v>
      </c>
      <c r="E2299" s="11">
        <v>500</v>
      </c>
      <c r="F2299" s="3" t="s">
        <v>8</v>
      </c>
      <c r="G2299" s="46">
        <v>18</v>
      </c>
      <c r="H2299" s="3">
        <v>21</v>
      </c>
      <c r="I2299" s="46">
        <v>0</v>
      </c>
      <c r="J2299" s="55">
        <v>0</v>
      </c>
      <c r="K2299" s="1">
        <f t="shared" ref="K2299" si="3267">(IF(F2299="SELL",G2299-H2299,IF(F2299="BUY",H2299-G2299)))*E2299</f>
        <v>1500</v>
      </c>
      <c r="L2299" s="51">
        <v>0</v>
      </c>
      <c r="M2299" s="52">
        <f>(IF(F2299="SELL",IF(J2299="",0,I2299-J2299),IF(F2299="BUY",IF(J2299="",0,(J2299-I2299)))))*E2299</f>
        <v>0</v>
      </c>
      <c r="N2299" s="2">
        <f t="shared" si="3198"/>
        <v>3</v>
      </c>
      <c r="O2299" s="2">
        <f t="shared" si="3225"/>
        <v>1500</v>
      </c>
      <c r="P2299" s="13"/>
      <c r="Q2299" s="13"/>
      <c r="R2299" s="13"/>
      <c r="S2299" s="13"/>
      <c r="T2299" s="13"/>
      <c r="U2299" s="13"/>
      <c r="V2299" s="13"/>
      <c r="W2299" s="13"/>
      <c r="X2299" s="13"/>
      <c r="Y2299" s="13"/>
      <c r="Z2299" s="13"/>
      <c r="AA2299" s="13"/>
      <c r="AB2299" s="13"/>
      <c r="AC2299" s="13"/>
      <c r="AD2299" s="13"/>
      <c r="AE2299" s="13"/>
      <c r="AF2299" s="13"/>
      <c r="AG2299" s="13"/>
    </row>
    <row r="2300" spans="1:33" s="14" customFormat="1" ht="15" customHeight="1">
      <c r="A2300" s="10">
        <v>42984</v>
      </c>
      <c r="B2300" s="3" t="s">
        <v>185</v>
      </c>
      <c r="C2300" s="15" t="s">
        <v>47</v>
      </c>
      <c r="D2300" s="15">
        <v>160</v>
      </c>
      <c r="E2300" s="11">
        <v>3500</v>
      </c>
      <c r="F2300" s="3" t="s">
        <v>8</v>
      </c>
      <c r="G2300" s="46">
        <v>4</v>
      </c>
      <c r="H2300" s="3">
        <v>4.5</v>
      </c>
      <c r="I2300" s="46">
        <v>5</v>
      </c>
      <c r="J2300" s="55">
        <v>6</v>
      </c>
      <c r="K2300" s="1">
        <f t="shared" ref="K2300" si="3268">(IF(F2300="SELL",G2300-H2300,IF(F2300="BUY",H2300-G2300)))*E2300</f>
        <v>1750</v>
      </c>
      <c r="L2300" s="51">
        <f t="shared" si="3266"/>
        <v>1750</v>
      </c>
      <c r="M2300" s="52">
        <f>(IF(F2300="SELL",IF(J2300="",0,I2300-J2300),IF(F2300="BUY",IF(J2300="",0,(J2300-I2300)))))*E2300</f>
        <v>3500</v>
      </c>
      <c r="N2300" s="2">
        <f t="shared" si="3198"/>
        <v>2</v>
      </c>
      <c r="O2300" s="2">
        <f t="shared" si="3225"/>
        <v>7000</v>
      </c>
      <c r="P2300" s="13"/>
      <c r="Q2300" s="13"/>
      <c r="R2300" s="13"/>
      <c r="S2300" s="13"/>
      <c r="T2300" s="13"/>
      <c r="U2300" s="13"/>
      <c r="V2300" s="13"/>
      <c r="W2300" s="13"/>
      <c r="X2300" s="13"/>
      <c r="Y2300" s="13"/>
      <c r="Z2300" s="13"/>
      <c r="AA2300" s="13"/>
      <c r="AB2300" s="13"/>
      <c r="AC2300" s="13"/>
      <c r="AD2300" s="13"/>
      <c r="AE2300" s="13"/>
      <c r="AF2300" s="13"/>
      <c r="AG2300" s="13"/>
    </row>
    <row r="2301" spans="1:33" s="14" customFormat="1" ht="15" customHeight="1">
      <c r="A2301" s="10">
        <v>42984</v>
      </c>
      <c r="B2301" s="3" t="s">
        <v>184</v>
      </c>
      <c r="C2301" s="15" t="s">
        <v>47</v>
      </c>
      <c r="D2301" s="15">
        <v>760</v>
      </c>
      <c r="E2301" s="11">
        <v>800</v>
      </c>
      <c r="F2301" s="3" t="s">
        <v>8</v>
      </c>
      <c r="G2301" s="46">
        <v>20</v>
      </c>
      <c r="H2301" s="3">
        <v>23</v>
      </c>
      <c r="I2301" s="46">
        <v>27</v>
      </c>
      <c r="J2301" s="55">
        <v>33</v>
      </c>
      <c r="K2301" s="1">
        <f t="shared" ref="K2301" si="3269">(IF(F2301="SELL",G2301-H2301,IF(F2301="BUY",H2301-G2301)))*E2301</f>
        <v>2400</v>
      </c>
      <c r="L2301" s="51">
        <f t="shared" si="3266"/>
        <v>3200</v>
      </c>
      <c r="M2301" s="52">
        <f>(IF(F2301="SELL",IF(J2301="",0,I2301-J2301),IF(F2301="BUY",IF(J2301="",0,(J2301-I2301)))))*E2301</f>
        <v>4800</v>
      </c>
      <c r="N2301" s="2">
        <f t="shared" si="3198"/>
        <v>13</v>
      </c>
      <c r="O2301" s="2">
        <f t="shared" si="3225"/>
        <v>10400</v>
      </c>
      <c r="P2301" s="13"/>
      <c r="Q2301" s="13"/>
      <c r="R2301" s="13"/>
      <c r="S2301" s="13"/>
      <c r="T2301" s="13"/>
      <c r="U2301" s="13"/>
      <c r="V2301" s="13"/>
      <c r="W2301" s="13"/>
      <c r="X2301" s="13"/>
      <c r="Y2301" s="13"/>
      <c r="Z2301" s="13"/>
      <c r="AA2301" s="13"/>
      <c r="AB2301" s="13"/>
      <c r="AC2301" s="13"/>
      <c r="AD2301" s="13"/>
      <c r="AE2301" s="13"/>
      <c r="AF2301" s="13"/>
      <c r="AG2301" s="13"/>
    </row>
    <row r="2302" spans="1:33" s="14" customFormat="1" ht="15" customHeight="1">
      <c r="A2302" s="10">
        <v>42983</v>
      </c>
      <c r="B2302" s="3" t="s">
        <v>183</v>
      </c>
      <c r="C2302" s="15" t="s">
        <v>47</v>
      </c>
      <c r="D2302" s="15">
        <v>205</v>
      </c>
      <c r="E2302" s="11">
        <v>4500</v>
      </c>
      <c r="F2302" s="3" t="s">
        <v>8</v>
      </c>
      <c r="G2302" s="46">
        <v>7.7</v>
      </c>
      <c r="H2302" s="3">
        <v>8</v>
      </c>
      <c r="I2302" s="46">
        <v>8.5</v>
      </c>
      <c r="J2302" s="55">
        <v>9</v>
      </c>
      <c r="K2302" s="1">
        <f t="shared" ref="K2302" si="3270">(IF(F2302="SELL",G2302-H2302,IF(F2302="BUY",H2302-G2302)))*E2302</f>
        <v>1349.9999999999991</v>
      </c>
      <c r="L2302" s="51">
        <f t="shared" si="3266"/>
        <v>2250</v>
      </c>
      <c r="M2302" s="52">
        <f>(IF(F2302="SELL",IF(J2302="",0,I2302-J2302),IF(F2302="BUY",IF(J2302="",0,(J2302-I2302)))))*E2302</f>
        <v>2250</v>
      </c>
      <c r="N2302" s="2">
        <f t="shared" si="3198"/>
        <v>1.2999999999999998</v>
      </c>
      <c r="O2302" s="2">
        <f t="shared" si="3225"/>
        <v>5849.9999999999991</v>
      </c>
      <c r="P2302" s="13"/>
      <c r="Q2302" s="13"/>
      <c r="R2302" s="13"/>
      <c r="S2302" s="13"/>
      <c r="T2302" s="13"/>
      <c r="U2302" s="13"/>
      <c r="V2302" s="13"/>
      <c r="W2302" s="13"/>
      <c r="X2302" s="13"/>
      <c r="Y2302" s="13"/>
      <c r="Z2302" s="13"/>
      <c r="AA2302" s="13"/>
      <c r="AB2302" s="13"/>
      <c r="AC2302" s="13"/>
      <c r="AD2302" s="13"/>
      <c r="AE2302" s="13"/>
      <c r="AF2302" s="13"/>
      <c r="AG2302" s="13"/>
    </row>
    <row r="2303" spans="1:33" s="14" customFormat="1" ht="15" customHeight="1">
      <c r="A2303" s="10">
        <v>42983</v>
      </c>
      <c r="B2303" s="3" t="s">
        <v>182</v>
      </c>
      <c r="C2303" s="15" t="s">
        <v>47</v>
      </c>
      <c r="D2303" s="15">
        <v>1280</v>
      </c>
      <c r="E2303" s="11">
        <v>500</v>
      </c>
      <c r="F2303" s="3" t="s">
        <v>8</v>
      </c>
      <c r="G2303" s="46">
        <v>38</v>
      </c>
      <c r="H2303" s="3">
        <v>41</v>
      </c>
      <c r="I2303" s="46">
        <v>45</v>
      </c>
      <c r="J2303" s="55">
        <v>0</v>
      </c>
      <c r="K2303" s="1">
        <f t="shared" ref="K2303" si="3271">(IF(F2303="SELL",G2303-H2303,IF(F2303="BUY",H2303-G2303)))*E2303</f>
        <v>1500</v>
      </c>
      <c r="L2303" s="51">
        <f t="shared" si="3266"/>
        <v>2000</v>
      </c>
      <c r="M2303" s="52">
        <v>0</v>
      </c>
      <c r="N2303" s="2">
        <f t="shared" si="3198"/>
        <v>7</v>
      </c>
      <c r="O2303" s="2">
        <f t="shared" si="3225"/>
        <v>3500</v>
      </c>
      <c r="P2303" s="13"/>
      <c r="Q2303" s="13"/>
      <c r="R2303" s="13"/>
      <c r="S2303" s="13"/>
      <c r="T2303" s="13"/>
      <c r="U2303" s="13"/>
      <c r="V2303" s="13"/>
      <c r="W2303" s="13"/>
      <c r="X2303" s="13"/>
      <c r="Y2303" s="13"/>
      <c r="Z2303" s="13"/>
      <c r="AA2303" s="13"/>
      <c r="AB2303" s="13"/>
      <c r="AC2303" s="13"/>
      <c r="AD2303" s="13"/>
      <c r="AE2303" s="13"/>
      <c r="AF2303" s="13"/>
      <c r="AG2303" s="13"/>
    </row>
    <row r="2304" spans="1:33" s="14" customFormat="1" ht="15" customHeight="1">
      <c r="A2304" s="10">
        <v>42982</v>
      </c>
      <c r="B2304" s="3" t="s">
        <v>181</v>
      </c>
      <c r="C2304" s="15" t="s">
        <v>47</v>
      </c>
      <c r="D2304" s="15">
        <v>1260</v>
      </c>
      <c r="E2304" s="11">
        <v>800</v>
      </c>
      <c r="F2304" s="3" t="s">
        <v>8</v>
      </c>
      <c r="G2304" s="46">
        <v>33</v>
      </c>
      <c r="H2304" s="3">
        <v>36</v>
      </c>
      <c r="I2304" s="46">
        <v>42</v>
      </c>
      <c r="J2304" s="55">
        <v>0</v>
      </c>
      <c r="K2304" s="1">
        <f t="shared" ref="K2304" si="3272">(IF(F2304="SELL",G2304-H2304,IF(F2304="BUY",H2304-G2304)))*E2304</f>
        <v>2400</v>
      </c>
      <c r="L2304" s="51">
        <f t="shared" si="3266"/>
        <v>4800</v>
      </c>
      <c r="M2304" s="52">
        <v>0</v>
      </c>
      <c r="N2304" s="2">
        <f t="shared" si="3198"/>
        <v>9</v>
      </c>
      <c r="O2304" s="2">
        <f t="shared" si="3225"/>
        <v>7200</v>
      </c>
      <c r="P2304" s="13"/>
      <c r="Q2304" s="13"/>
      <c r="R2304" s="13"/>
      <c r="S2304" s="13"/>
      <c r="T2304" s="13"/>
      <c r="U2304" s="13"/>
      <c r="V2304" s="13"/>
      <c r="W2304" s="13"/>
      <c r="X2304" s="13"/>
      <c r="Y2304" s="13"/>
      <c r="Z2304" s="13"/>
      <c r="AA2304" s="13"/>
      <c r="AB2304" s="13"/>
      <c r="AC2304" s="13"/>
      <c r="AD2304" s="13"/>
      <c r="AE2304" s="13"/>
      <c r="AF2304" s="13"/>
      <c r="AG2304" s="13"/>
    </row>
    <row r="2305" spans="1:33" s="14" customFormat="1" ht="15" customHeight="1">
      <c r="A2305" s="10">
        <v>42979</v>
      </c>
      <c r="B2305" s="3" t="s">
        <v>65</v>
      </c>
      <c r="C2305" s="15" t="s">
        <v>47</v>
      </c>
      <c r="D2305" s="15">
        <v>400</v>
      </c>
      <c r="E2305" s="11">
        <v>1200</v>
      </c>
      <c r="F2305" s="3" t="s">
        <v>8</v>
      </c>
      <c r="G2305" s="46">
        <v>21</v>
      </c>
      <c r="H2305" s="3">
        <v>23</v>
      </c>
      <c r="I2305" s="46">
        <v>25</v>
      </c>
      <c r="J2305" s="55">
        <v>0</v>
      </c>
      <c r="K2305" s="1">
        <f t="shared" ref="K2305" si="3273">(IF(F2305="SELL",G2305-H2305,IF(F2305="BUY",H2305-G2305)))*E2305</f>
        <v>2400</v>
      </c>
      <c r="L2305" s="51">
        <f t="shared" si="3266"/>
        <v>2400</v>
      </c>
      <c r="M2305" s="52">
        <v>0</v>
      </c>
      <c r="N2305" s="2">
        <f t="shared" si="3198"/>
        <v>4</v>
      </c>
      <c r="O2305" s="2">
        <f t="shared" si="3225"/>
        <v>4800</v>
      </c>
      <c r="P2305" s="13"/>
      <c r="Q2305" s="13"/>
      <c r="R2305" s="13"/>
      <c r="S2305" s="13"/>
      <c r="T2305" s="13"/>
      <c r="U2305" s="13"/>
      <c r="V2305" s="13"/>
      <c r="W2305" s="13"/>
      <c r="X2305" s="13"/>
      <c r="Y2305" s="13"/>
      <c r="Z2305" s="13"/>
      <c r="AA2305" s="13"/>
      <c r="AB2305" s="13"/>
      <c r="AC2305" s="13"/>
      <c r="AD2305" s="13"/>
      <c r="AE2305" s="13"/>
      <c r="AF2305" s="13"/>
      <c r="AG2305" s="13"/>
    </row>
    <row r="2306" spans="1:33" s="14" customFormat="1" ht="15" customHeight="1">
      <c r="A2306" s="10">
        <v>42979</v>
      </c>
      <c r="B2306" s="3" t="s">
        <v>180</v>
      </c>
      <c r="C2306" s="15" t="s">
        <v>47</v>
      </c>
      <c r="D2306" s="15">
        <v>900</v>
      </c>
      <c r="E2306" s="11">
        <v>1000</v>
      </c>
      <c r="F2306" s="3" t="s">
        <v>8</v>
      </c>
      <c r="G2306" s="46">
        <v>42</v>
      </c>
      <c r="H2306" s="3">
        <v>45</v>
      </c>
      <c r="I2306" s="46">
        <v>50</v>
      </c>
      <c r="J2306" s="55">
        <v>0</v>
      </c>
      <c r="K2306" s="1">
        <f t="shared" ref="K2306" si="3274">(IF(F2306="SELL",G2306-H2306,IF(F2306="BUY",H2306-G2306)))*E2306</f>
        <v>3000</v>
      </c>
      <c r="L2306" s="51">
        <f t="shared" si="3266"/>
        <v>5000</v>
      </c>
      <c r="M2306" s="52">
        <v>0</v>
      </c>
      <c r="N2306" s="2">
        <f t="shared" si="3198"/>
        <v>8</v>
      </c>
      <c r="O2306" s="2">
        <f t="shared" si="3225"/>
        <v>8000</v>
      </c>
      <c r="P2306" s="13"/>
      <c r="Q2306" s="13"/>
      <c r="R2306" s="13"/>
      <c r="S2306" s="13"/>
      <c r="T2306" s="13"/>
      <c r="U2306" s="13"/>
      <c r="V2306" s="13"/>
      <c r="W2306" s="13"/>
      <c r="X2306" s="13"/>
      <c r="Y2306" s="13"/>
      <c r="Z2306" s="13"/>
      <c r="AA2306" s="13"/>
      <c r="AB2306" s="13"/>
      <c r="AC2306" s="13"/>
      <c r="AD2306" s="13"/>
      <c r="AE2306" s="13"/>
      <c r="AF2306" s="13"/>
      <c r="AG2306" s="13"/>
    </row>
    <row r="2307" spans="1:33" s="14" customFormat="1" ht="15" customHeight="1">
      <c r="A2307" s="10">
        <v>42978</v>
      </c>
      <c r="B2307" s="3" t="s">
        <v>179</v>
      </c>
      <c r="C2307" s="15" t="s">
        <v>46</v>
      </c>
      <c r="D2307" s="15">
        <v>140</v>
      </c>
      <c r="E2307" s="11">
        <v>3500</v>
      </c>
      <c r="F2307" s="3" t="s">
        <v>8</v>
      </c>
      <c r="G2307" s="46">
        <v>2</v>
      </c>
      <c r="H2307" s="3">
        <v>2.5</v>
      </c>
      <c r="I2307" s="46">
        <v>0</v>
      </c>
      <c r="J2307" s="55">
        <v>0</v>
      </c>
      <c r="K2307" s="1">
        <f t="shared" ref="K2307" si="3275">(IF(F2307="SELL",G2307-H2307,IF(F2307="BUY",H2307-G2307)))*E2307</f>
        <v>1750</v>
      </c>
      <c r="L2307" s="51">
        <v>0</v>
      </c>
      <c r="M2307" s="52">
        <f>(IF(F2307="SELL",IF(J2307="",0,I2307-J2307),IF(F2307="BUY",IF(J2307="",0,(J2307-I2307)))))*E2307</f>
        <v>0</v>
      </c>
      <c r="N2307" s="2">
        <f t="shared" si="3198"/>
        <v>0.5</v>
      </c>
      <c r="O2307" s="2">
        <f t="shared" si="3225"/>
        <v>1750</v>
      </c>
      <c r="P2307" s="13"/>
      <c r="Q2307" s="13"/>
      <c r="R2307" s="13"/>
      <c r="S2307" s="13"/>
      <c r="T2307" s="13"/>
      <c r="U2307" s="13"/>
      <c r="V2307" s="13"/>
      <c r="W2307" s="13"/>
      <c r="X2307" s="13"/>
      <c r="Y2307" s="13"/>
      <c r="Z2307" s="13"/>
      <c r="AA2307" s="13"/>
      <c r="AB2307" s="13"/>
      <c r="AC2307" s="13"/>
      <c r="AD2307" s="13"/>
      <c r="AE2307" s="13"/>
      <c r="AF2307" s="13"/>
      <c r="AG2307" s="13"/>
    </row>
    <row r="2308" spans="1:33" s="14" customFormat="1" ht="15" customHeight="1">
      <c r="A2308" s="10">
        <v>42977</v>
      </c>
      <c r="B2308" s="3" t="s">
        <v>178</v>
      </c>
      <c r="C2308" s="15" t="s">
        <v>47</v>
      </c>
      <c r="D2308" s="15">
        <v>440</v>
      </c>
      <c r="E2308" s="11">
        <v>1500</v>
      </c>
      <c r="F2308" s="3" t="s">
        <v>8</v>
      </c>
      <c r="G2308" s="46">
        <v>5</v>
      </c>
      <c r="H2308" s="3">
        <v>2</v>
      </c>
      <c r="I2308" s="46">
        <v>0</v>
      </c>
      <c r="J2308" s="55">
        <v>0</v>
      </c>
      <c r="K2308" s="1">
        <f t="shared" ref="K2308" si="3276">(IF(F2308="SELL",G2308-H2308,IF(F2308="BUY",H2308-G2308)))*E2308</f>
        <v>-4500</v>
      </c>
      <c r="L2308" s="51">
        <v>0</v>
      </c>
      <c r="M2308" s="52">
        <f>(IF(F2308="SELL",IF(J2308="",0,I2308-J2308),IF(F2308="BUY",IF(J2308="",0,(J2308-I2308)))))*E2308</f>
        <v>0</v>
      </c>
      <c r="N2308" s="2">
        <f t="shared" si="3198"/>
        <v>-3</v>
      </c>
      <c r="O2308" s="2">
        <f t="shared" si="3225"/>
        <v>-4500</v>
      </c>
      <c r="P2308" s="13"/>
      <c r="Q2308" s="13"/>
      <c r="R2308" s="13"/>
      <c r="S2308" s="13"/>
      <c r="T2308" s="13"/>
      <c r="U2308" s="13"/>
      <c r="V2308" s="13"/>
      <c r="W2308" s="13"/>
      <c r="X2308" s="13"/>
      <c r="Y2308" s="13"/>
      <c r="Z2308" s="13"/>
      <c r="AA2308" s="13"/>
      <c r="AB2308" s="13"/>
      <c r="AC2308" s="13"/>
      <c r="AD2308" s="13"/>
      <c r="AE2308" s="13"/>
      <c r="AF2308" s="13"/>
      <c r="AG2308" s="13"/>
    </row>
    <row r="2309" spans="1:33" s="14" customFormat="1" ht="15" customHeight="1">
      <c r="A2309" s="10">
        <v>42977</v>
      </c>
      <c r="B2309" s="3" t="s">
        <v>177</v>
      </c>
      <c r="C2309" s="15" t="s">
        <v>47</v>
      </c>
      <c r="D2309" s="15">
        <v>125</v>
      </c>
      <c r="E2309" s="11">
        <v>8000</v>
      </c>
      <c r="F2309" s="3" t="s">
        <v>8</v>
      </c>
      <c r="G2309" s="46">
        <v>2</v>
      </c>
      <c r="H2309" s="3">
        <v>2.5</v>
      </c>
      <c r="I2309" s="46">
        <v>3.5</v>
      </c>
      <c r="J2309" s="55">
        <v>0</v>
      </c>
      <c r="K2309" s="1">
        <f t="shared" ref="K2309" si="3277">(IF(F2309="SELL",G2309-H2309,IF(F2309="BUY",H2309-G2309)))*E2309</f>
        <v>4000</v>
      </c>
      <c r="L2309" s="51">
        <f>(IF(F2309="SELL",IF(I2309="",0,H2309-I2309),IF(F2309="BUY",IF(I2309="",0,I2309-H2309))))*E2309</f>
        <v>8000</v>
      </c>
      <c r="M2309" s="52">
        <v>0</v>
      </c>
      <c r="N2309" s="2">
        <f t="shared" si="3198"/>
        <v>1.5</v>
      </c>
      <c r="O2309" s="2">
        <f t="shared" si="3225"/>
        <v>12000</v>
      </c>
      <c r="P2309" s="13"/>
      <c r="Q2309" s="13"/>
      <c r="R2309" s="13"/>
      <c r="S2309" s="13"/>
      <c r="T2309" s="13"/>
      <c r="U2309" s="13"/>
      <c r="V2309" s="13"/>
      <c r="W2309" s="13"/>
      <c r="X2309" s="13"/>
      <c r="Y2309" s="13"/>
      <c r="Z2309" s="13"/>
      <c r="AA2309" s="13"/>
      <c r="AB2309" s="13"/>
      <c r="AC2309" s="13"/>
      <c r="AD2309" s="13"/>
      <c r="AE2309" s="13"/>
      <c r="AF2309" s="13"/>
      <c r="AG2309" s="13"/>
    </row>
    <row r="2310" spans="1:33" s="14" customFormat="1" ht="15" customHeight="1">
      <c r="A2310" s="10">
        <v>42977</v>
      </c>
      <c r="B2310" s="3" t="s">
        <v>163</v>
      </c>
      <c r="C2310" s="15" t="s">
        <v>47</v>
      </c>
      <c r="D2310" s="15">
        <v>290</v>
      </c>
      <c r="E2310" s="11">
        <v>3200</v>
      </c>
      <c r="F2310" s="3" t="s">
        <v>8</v>
      </c>
      <c r="G2310" s="46">
        <v>3.7</v>
      </c>
      <c r="H2310" s="3">
        <v>4.3</v>
      </c>
      <c r="I2310" s="46">
        <v>5</v>
      </c>
      <c r="J2310" s="55">
        <v>6</v>
      </c>
      <c r="K2310" s="1">
        <f t="shared" ref="K2310" si="3278">(IF(F2310="SELL",G2310-H2310,IF(F2310="BUY",H2310-G2310)))*E2310</f>
        <v>1919.9999999999989</v>
      </c>
      <c r="L2310" s="51">
        <f>(IF(F2310="SELL",IF(I2310="",0,H2310-I2310),IF(F2310="BUY",IF(I2310="",0,I2310-H2310))))*E2310</f>
        <v>2240.0000000000005</v>
      </c>
      <c r="M2310" s="52">
        <f>(IF(F2310="SELL",IF(J2310="",0,I2310-J2310),IF(F2310="BUY",IF(J2310="",0,(J2310-I2310)))))*E2310</f>
        <v>3200</v>
      </c>
      <c r="N2310" s="2">
        <f t="shared" si="3198"/>
        <v>2.2999999999999998</v>
      </c>
      <c r="O2310" s="2">
        <f t="shared" si="3225"/>
        <v>7359.9999999999991</v>
      </c>
      <c r="P2310" s="13"/>
      <c r="Q2310" s="13"/>
      <c r="R2310" s="13"/>
      <c r="S2310" s="13"/>
      <c r="T2310" s="13"/>
      <c r="U2310" s="13"/>
      <c r="V2310" s="13"/>
      <c r="W2310" s="13"/>
      <c r="X2310" s="13"/>
      <c r="Y2310" s="13"/>
      <c r="Z2310" s="13"/>
      <c r="AA2310" s="13"/>
      <c r="AB2310" s="13"/>
      <c r="AC2310" s="13"/>
      <c r="AD2310" s="13"/>
      <c r="AE2310" s="13"/>
      <c r="AF2310" s="13"/>
      <c r="AG2310" s="13"/>
    </row>
    <row r="2311" spans="1:33" s="14" customFormat="1" ht="15" customHeight="1">
      <c r="A2311" s="10">
        <v>42977</v>
      </c>
      <c r="B2311" s="3" t="s">
        <v>176</v>
      </c>
      <c r="C2311" s="15" t="s">
        <v>47</v>
      </c>
      <c r="D2311" s="15">
        <v>690</v>
      </c>
      <c r="E2311" s="11">
        <v>1100</v>
      </c>
      <c r="F2311" s="3" t="s">
        <v>8</v>
      </c>
      <c r="G2311" s="46">
        <v>7</v>
      </c>
      <c r="H2311" s="3">
        <v>8.5</v>
      </c>
      <c r="I2311" s="46">
        <v>0</v>
      </c>
      <c r="J2311" s="55">
        <v>0</v>
      </c>
      <c r="K2311" s="1">
        <f t="shared" ref="K2311" si="3279">(IF(F2311="SELL",G2311-H2311,IF(F2311="BUY",H2311-G2311)))*E2311</f>
        <v>1650</v>
      </c>
      <c r="L2311" s="51">
        <v>0</v>
      </c>
      <c r="M2311" s="52">
        <f>(IF(F2311="SELL",IF(J2311="",0,I2311-J2311),IF(F2311="BUY",IF(J2311="",0,(J2311-I2311)))))*E2311</f>
        <v>0</v>
      </c>
      <c r="N2311" s="2">
        <f t="shared" si="3198"/>
        <v>1.5</v>
      </c>
      <c r="O2311" s="2">
        <f t="shared" si="3225"/>
        <v>1650</v>
      </c>
      <c r="P2311" s="13"/>
      <c r="Q2311" s="13"/>
      <c r="R2311" s="13"/>
      <c r="S2311" s="13"/>
      <c r="T2311" s="13"/>
      <c r="U2311" s="13"/>
      <c r="V2311" s="13"/>
      <c r="W2311" s="13"/>
      <c r="X2311" s="13"/>
      <c r="Y2311" s="13"/>
      <c r="Z2311" s="13"/>
      <c r="AA2311" s="13"/>
      <c r="AB2311" s="13"/>
      <c r="AC2311" s="13"/>
      <c r="AD2311" s="13"/>
      <c r="AE2311" s="13"/>
      <c r="AF2311" s="13"/>
      <c r="AG2311" s="13"/>
    </row>
    <row r="2312" spans="1:33" s="14" customFormat="1" ht="15" customHeight="1">
      <c r="A2312" s="10">
        <v>42976</v>
      </c>
      <c r="B2312" s="3" t="s">
        <v>63</v>
      </c>
      <c r="C2312" s="15" t="s">
        <v>47</v>
      </c>
      <c r="D2312" s="15">
        <v>470</v>
      </c>
      <c r="E2312" s="11">
        <v>1500</v>
      </c>
      <c r="F2312" s="3" t="s">
        <v>8</v>
      </c>
      <c r="G2312" s="46">
        <v>9</v>
      </c>
      <c r="H2312" s="3">
        <v>10</v>
      </c>
      <c r="I2312" s="46">
        <v>0</v>
      </c>
      <c r="J2312" s="55">
        <v>0</v>
      </c>
      <c r="K2312" s="1">
        <f t="shared" ref="K2312" si="3280">(IF(F2312="SELL",G2312-H2312,IF(F2312="BUY",H2312-G2312)))*E2312</f>
        <v>1500</v>
      </c>
      <c r="L2312" s="51">
        <v>0</v>
      </c>
      <c r="M2312" s="52">
        <f>(IF(F2312="SELL",IF(J2312="",0,I2312-J2312),IF(F2312="BUY",IF(J2312="",0,(J2312-I2312)))))*E2312</f>
        <v>0</v>
      </c>
      <c r="N2312" s="2">
        <f t="shared" si="3198"/>
        <v>1</v>
      </c>
      <c r="O2312" s="2">
        <f t="shared" si="3225"/>
        <v>1500</v>
      </c>
      <c r="P2312" s="13"/>
      <c r="Q2312" s="13"/>
      <c r="R2312" s="13"/>
      <c r="S2312" s="13"/>
      <c r="T2312" s="13"/>
      <c r="U2312" s="13"/>
      <c r="V2312" s="13"/>
      <c r="W2312" s="13"/>
      <c r="X2312" s="13"/>
      <c r="Y2312" s="13"/>
      <c r="Z2312" s="13"/>
      <c r="AA2312" s="13"/>
      <c r="AB2312" s="13"/>
      <c r="AC2312" s="13"/>
      <c r="AD2312" s="13"/>
      <c r="AE2312" s="13"/>
      <c r="AF2312" s="13"/>
      <c r="AG2312" s="13"/>
    </row>
    <row r="2313" spans="1:33" s="14" customFormat="1" ht="15" customHeight="1">
      <c r="A2313" s="10">
        <v>42975</v>
      </c>
      <c r="B2313" s="3" t="s">
        <v>175</v>
      </c>
      <c r="C2313" s="15" t="s">
        <v>47</v>
      </c>
      <c r="D2313" s="15">
        <v>1800</v>
      </c>
      <c r="E2313" s="11">
        <v>500</v>
      </c>
      <c r="F2313" s="3" t="s">
        <v>8</v>
      </c>
      <c r="G2313" s="46">
        <v>30</v>
      </c>
      <c r="H2313" s="3">
        <v>35</v>
      </c>
      <c r="I2313" s="46">
        <v>43</v>
      </c>
      <c r="J2313" s="55">
        <v>0</v>
      </c>
      <c r="K2313" s="1">
        <f t="shared" ref="K2313" si="3281">(IF(F2313="SELL",G2313-H2313,IF(F2313="BUY",H2313-G2313)))*E2313</f>
        <v>2500</v>
      </c>
      <c r="L2313" s="51">
        <f>(IF(F2313="SELL",IF(I2313="",0,H2313-I2313),IF(F2313="BUY",IF(I2313="",0,I2313-H2313))))*E2313</f>
        <v>4000</v>
      </c>
      <c r="M2313" s="52">
        <v>0</v>
      </c>
      <c r="N2313" s="2">
        <f t="shared" si="3198"/>
        <v>13</v>
      </c>
      <c r="O2313" s="2">
        <f t="shared" si="3225"/>
        <v>6500</v>
      </c>
      <c r="P2313" s="13"/>
      <c r="Q2313" s="13"/>
      <c r="R2313" s="13"/>
      <c r="S2313" s="13"/>
      <c r="T2313" s="13"/>
      <c r="U2313" s="13"/>
      <c r="V2313" s="13"/>
      <c r="W2313" s="13"/>
      <c r="X2313" s="13"/>
      <c r="Y2313" s="13"/>
      <c r="Z2313" s="13"/>
      <c r="AA2313" s="13"/>
      <c r="AB2313" s="13"/>
      <c r="AC2313" s="13"/>
      <c r="AD2313" s="13"/>
      <c r="AE2313" s="13"/>
      <c r="AF2313" s="13"/>
      <c r="AG2313" s="13"/>
    </row>
    <row r="2314" spans="1:33" s="14" customFormat="1" ht="15" customHeight="1">
      <c r="A2314" s="10">
        <v>42975</v>
      </c>
      <c r="B2314" s="3" t="s">
        <v>60</v>
      </c>
      <c r="C2314" s="15" t="s">
        <v>46</v>
      </c>
      <c r="D2314" s="15">
        <v>300</v>
      </c>
      <c r="E2314" s="11">
        <v>3500</v>
      </c>
      <c r="F2314" s="3" t="s">
        <v>8</v>
      </c>
      <c r="G2314" s="46">
        <v>4.3</v>
      </c>
      <c r="H2314" s="3">
        <v>4.7</v>
      </c>
      <c r="I2314" s="46">
        <v>5.0999999999999996</v>
      </c>
      <c r="J2314" s="55">
        <v>0</v>
      </c>
      <c r="K2314" s="1">
        <f t="shared" ref="K2314" si="3282">(IF(F2314="SELL",G2314-H2314,IF(F2314="BUY",H2314-G2314)))*E2314</f>
        <v>1400.0000000000011</v>
      </c>
      <c r="L2314" s="51">
        <f>(IF(F2314="SELL",IF(I2314="",0,H2314-I2314),IF(F2314="BUY",IF(I2314="",0,I2314-H2314))))*E2314</f>
        <v>1399.9999999999982</v>
      </c>
      <c r="M2314" s="52">
        <v>0</v>
      </c>
      <c r="N2314" s="2">
        <f t="shared" si="3198"/>
        <v>0.79999999999999971</v>
      </c>
      <c r="O2314" s="2">
        <f t="shared" si="3225"/>
        <v>2799.9999999999991</v>
      </c>
      <c r="P2314" s="13"/>
      <c r="Q2314" s="13"/>
      <c r="R2314" s="13"/>
      <c r="S2314" s="13"/>
      <c r="T2314" s="13"/>
      <c r="U2314" s="13"/>
      <c r="V2314" s="13"/>
      <c r="W2314" s="13"/>
      <c r="X2314" s="13"/>
      <c r="Y2314" s="13"/>
      <c r="Z2314" s="13"/>
      <c r="AA2314" s="13"/>
      <c r="AB2314" s="13"/>
      <c r="AC2314" s="13"/>
      <c r="AD2314" s="13"/>
      <c r="AE2314" s="13"/>
      <c r="AF2314" s="13"/>
      <c r="AG2314" s="13"/>
    </row>
    <row r="2315" spans="1:33" s="14" customFormat="1" ht="15" customHeight="1">
      <c r="A2315" s="10">
        <v>42975</v>
      </c>
      <c r="B2315" s="3" t="s">
        <v>174</v>
      </c>
      <c r="C2315" s="15" t="s">
        <v>46</v>
      </c>
      <c r="D2315" s="15">
        <v>340</v>
      </c>
      <c r="E2315" s="11">
        <v>3084</v>
      </c>
      <c r="F2315" s="3" t="s">
        <v>8</v>
      </c>
      <c r="G2315" s="46">
        <v>3.5</v>
      </c>
      <c r="H2315" s="3">
        <v>4</v>
      </c>
      <c r="I2315" s="46">
        <v>4.5</v>
      </c>
      <c r="J2315" s="55">
        <v>0</v>
      </c>
      <c r="K2315" s="1">
        <f t="shared" ref="K2315" si="3283">(IF(F2315="SELL",G2315-H2315,IF(F2315="BUY",H2315-G2315)))*E2315</f>
        <v>1542</v>
      </c>
      <c r="L2315" s="51">
        <f>(IF(F2315="SELL",IF(I2315="",0,H2315-I2315),IF(F2315="BUY",IF(I2315="",0,I2315-H2315))))*E2315</f>
        <v>1542</v>
      </c>
      <c r="M2315" s="52">
        <v>0</v>
      </c>
      <c r="N2315" s="2">
        <f t="shared" si="3198"/>
        <v>1</v>
      </c>
      <c r="O2315" s="2">
        <f t="shared" si="3225"/>
        <v>3084</v>
      </c>
      <c r="P2315" s="13"/>
      <c r="Q2315" s="13"/>
      <c r="R2315" s="13"/>
      <c r="S2315" s="13"/>
      <c r="T2315" s="13"/>
      <c r="U2315" s="13"/>
      <c r="V2315" s="13"/>
      <c r="W2315" s="13"/>
      <c r="X2315" s="13"/>
      <c r="Y2315" s="13"/>
      <c r="Z2315" s="13"/>
      <c r="AA2315" s="13"/>
      <c r="AB2315" s="13"/>
      <c r="AC2315" s="13"/>
      <c r="AD2315" s="13"/>
      <c r="AE2315" s="13"/>
      <c r="AF2315" s="13"/>
      <c r="AG2315" s="13"/>
    </row>
    <row r="2316" spans="1:33" s="14" customFormat="1" ht="15" customHeight="1">
      <c r="A2316" s="10">
        <v>42971</v>
      </c>
      <c r="B2316" s="3" t="s">
        <v>141</v>
      </c>
      <c r="C2316" s="15" t="s">
        <v>47</v>
      </c>
      <c r="D2316" s="15">
        <v>245</v>
      </c>
      <c r="E2316" s="11">
        <v>3000</v>
      </c>
      <c r="F2316" s="3" t="s">
        <v>8</v>
      </c>
      <c r="G2316" s="46">
        <v>3.25</v>
      </c>
      <c r="H2316" s="3">
        <v>3.75</v>
      </c>
      <c r="I2316" s="46">
        <v>4.5</v>
      </c>
      <c r="J2316" s="55">
        <v>5.5</v>
      </c>
      <c r="K2316" s="1">
        <f t="shared" ref="K2316" si="3284">(IF(F2316="SELL",G2316-H2316,IF(F2316="BUY",H2316-G2316)))*E2316</f>
        <v>1500</v>
      </c>
      <c r="L2316" s="51">
        <f>(IF(F2316="SELL",IF(I2316="",0,H2316-I2316),IF(F2316="BUY",IF(I2316="",0,I2316-H2316))))*E2316</f>
        <v>2250</v>
      </c>
      <c r="M2316" s="52">
        <f>(IF(F2316="SELL",IF(J2316="",0,I2316-J2316),IF(F2316="BUY",IF(J2316="",0,(J2316-I2316)))))*E2316</f>
        <v>3000</v>
      </c>
      <c r="N2316" s="2">
        <f t="shared" ref="N2316:N2379" si="3285">(L2316+K2316+M2316)/E2316</f>
        <v>2.25</v>
      </c>
      <c r="O2316" s="2">
        <f t="shared" si="3225"/>
        <v>6750</v>
      </c>
      <c r="P2316" s="13"/>
      <c r="Q2316" s="13"/>
      <c r="R2316" s="13"/>
      <c r="S2316" s="13"/>
      <c r="T2316" s="13"/>
      <c r="U2316" s="13"/>
      <c r="V2316" s="13"/>
      <c r="W2316" s="13"/>
      <c r="X2316" s="13"/>
      <c r="Y2316" s="13"/>
      <c r="Z2316" s="13"/>
      <c r="AA2316" s="13"/>
      <c r="AB2316" s="13"/>
      <c r="AC2316" s="13"/>
      <c r="AD2316" s="13"/>
      <c r="AE2316" s="13"/>
      <c r="AF2316" s="13"/>
      <c r="AG2316" s="13"/>
    </row>
    <row r="2317" spans="1:33" s="14" customFormat="1" ht="15" customHeight="1">
      <c r="A2317" s="10">
        <v>42971</v>
      </c>
      <c r="B2317" s="3" t="s">
        <v>172</v>
      </c>
      <c r="C2317" s="15" t="s">
        <v>47</v>
      </c>
      <c r="D2317" s="15">
        <v>450</v>
      </c>
      <c r="E2317" s="11">
        <v>1575</v>
      </c>
      <c r="F2317" s="3" t="s">
        <v>8</v>
      </c>
      <c r="G2317" s="46">
        <v>18</v>
      </c>
      <c r="H2317" s="3">
        <v>19.5</v>
      </c>
      <c r="I2317" s="46">
        <v>21</v>
      </c>
      <c r="J2317" s="55">
        <v>23</v>
      </c>
      <c r="K2317" s="1">
        <f t="shared" ref="K2317" si="3286">(IF(F2317="SELL",G2317-H2317,IF(F2317="BUY",H2317-G2317)))*E2317</f>
        <v>2362.5</v>
      </c>
      <c r="L2317" s="51">
        <f>(IF(F2317="SELL",IF(I2317="",0,H2317-I2317),IF(F2317="BUY",IF(I2317="",0,I2317-H2317))))*E2317</f>
        <v>2362.5</v>
      </c>
      <c r="M2317" s="52">
        <f>(IF(F2317="SELL",IF(J2317="",0,I2317-J2317),IF(F2317="BUY",IF(J2317="",0,(J2317-I2317)))))*E2317</f>
        <v>3150</v>
      </c>
      <c r="N2317" s="2">
        <f t="shared" si="3285"/>
        <v>5</v>
      </c>
      <c r="O2317" s="2">
        <f t="shared" si="3225"/>
        <v>7875</v>
      </c>
      <c r="P2317" s="13"/>
      <c r="Q2317" s="13"/>
      <c r="R2317" s="13"/>
      <c r="S2317" s="13"/>
      <c r="T2317" s="13"/>
      <c r="U2317" s="13"/>
      <c r="V2317" s="13"/>
      <c r="W2317" s="13"/>
      <c r="X2317" s="13"/>
      <c r="Y2317" s="13"/>
      <c r="Z2317" s="13"/>
      <c r="AA2317" s="13"/>
      <c r="AB2317" s="13"/>
      <c r="AC2317" s="13"/>
      <c r="AD2317" s="13"/>
      <c r="AE2317" s="13"/>
      <c r="AF2317" s="13"/>
      <c r="AG2317" s="13"/>
    </row>
    <row r="2318" spans="1:33" s="14" customFormat="1" ht="15" customHeight="1">
      <c r="A2318" s="10">
        <v>42971</v>
      </c>
      <c r="B2318" s="3" t="s">
        <v>167</v>
      </c>
      <c r="C2318" s="15" t="s">
        <v>47</v>
      </c>
      <c r="D2318" s="15">
        <v>900</v>
      </c>
      <c r="E2318" s="11">
        <v>1000</v>
      </c>
      <c r="F2318" s="3" t="s">
        <v>8</v>
      </c>
      <c r="G2318" s="46">
        <v>23</v>
      </c>
      <c r="H2318" s="3">
        <v>25</v>
      </c>
      <c r="I2318" s="46">
        <v>0</v>
      </c>
      <c r="J2318" s="55">
        <v>0</v>
      </c>
      <c r="K2318" s="1">
        <f t="shared" ref="K2318" si="3287">(IF(F2318="SELL",G2318-H2318,IF(F2318="BUY",H2318-G2318)))*E2318</f>
        <v>2000</v>
      </c>
      <c r="L2318" s="51">
        <v>0</v>
      </c>
      <c r="M2318" s="52">
        <v>0</v>
      </c>
      <c r="N2318" s="2">
        <f t="shared" si="3285"/>
        <v>2</v>
      </c>
      <c r="O2318" s="2">
        <f t="shared" si="3225"/>
        <v>2000</v>
      </c>
      <c r="P2318" s="13"/>
      <c r="Q2318" s="13"/>
      <c r="R2318" s="13"/>
      <c r="S2318" s="13"/>
      <c r="T2318" s="13"/>
      <c r="U2318" s="13"/>
      <c r="V2318" s="13"/>
      <c r="W2318" s="13"/>
      <c r="X2318" s="13"/>
      <c r="Y2318" s="13"/>
      <c r="Z2318" s="13"/>
      <c r="AA2318" s="13"/>
      <c r="AB2318" s="13"/>
      <c r="AC2318" s="13"/>
      <c r="AD2318" s="13"/>
      <c r="AE2318" s="13"/>
      <c r="AF2318" s="13"/>
      <c r="AG2318" s="13"/>
    </row>
    <row r="2319" spans="1:33" s="14" customFormat="1" ht="15" customHeight="1">
      <c r="A2319" s="10">
        <v>42970</v>
      </c>
      <c r="B2319" s="3" t="s">
        <v>172</v>
      </c>
      <c r="C2319" s="15" t="s">
        <v>47</v>
      </c>
      <c r="D2319" s="15">
        <v>450</v>
      </c>
      <c r="E2319" s="11">
        <v>1575</v>
      </c>
      <c r="F2319" s="3" t="s">
        <v>8</v>
      </c>
      <c r="G2319" s="46">
        <v>14.5</v>
      </c>
      <c r="H2319" s="3">
        <v>15.5</v>
      </c>
      <c r="I2319" s="46">
        <v>17</v>
      </c>
      <c r="J2319" s="55">
        <v>0</v>
      </c>
      <c r="K2319" s="1">
        <f t="shared" ref="K2319" si="3288">(IF(F2319="SELL",G2319-H2319,IF(F2319="BUY",H2319-G2319)))*E2319</f>
        <v>1575</v>
      </c>
      <c r="L2319" s="51">
        <f>(IF(F2319="SELL",IF(I2319="",0,H2319-I2319),IF(F2319="BUY",IF(I2319="",0,I2319-H2319))))*E2319</f>
        <v>2362.5</v>
      </c>
      <c r="M2319" s="52">
        <v>0</v>
      </c>
      <c r="N2319" s="2">
        <f t="shared" si="3285"/>
        <v>2.5</v>
      </c>
      <c r="O2319" s="2">
        <f t="shared" si="3225"/>
        <v>3937.5</v>
      </c>
      <c r="P2319" s="13"/>
      <c r="Q2319" s="13"/>
      <c r="R2319" s="13"/>
      <c r="S2319" s="13"/>
      <c r="T2319" s="13"/>
      <c r="U2319" s="13"/>
      <c r="V2319" s="13"/>
      <c r="W2319" s="13"/>
      <c r="X2319" s="13"/>
      <c r="Y2319" s="13"/>
      <c r="Z2319" s="13"/>
      <c r="AA2319" s="13"/>
      <c r="AB2319" s="13"/>
      <c r="AC2319" s="13"/>
      <c r="AD2319" s="13"/>
      <c r="AE2319" s="13"/>
      <c r="AF2319" s="13"/>
      <c r="AG2319" s="13"/>
    </row>
    <row r="2320" spans="1:33" s="14" customFormat="1" ht="15" customHeight="1">
      <c r="A2320" s="10">
        <v>42969</v>
      </c>
      <c r="B2320" s="3" t="s">
        <v>173</v>
      </c>
      <c r="C2320" s="15" t="s">
        <v>47</v>
      </c>
      <c r="D2320" s="15">
        <v>160</v>
      </c>
      <c r="E2320" s="11">
        <v>3750</v>
      </c>
      <c r="F2320" s="3" t="s">
        <v>8</v>
      </c>
      <c r="G2320" s="46">
        <v>2.35</v>
      </c>
      <c r="H2320" s="3">
        <v>2.85</v>
      </c>
      <c r="I2320" s="46">
        <v>0</v>
      </c>
      <c r="J2320" s="55">
        <v>0</v>
      </c>
      <c r="K2320" s="1">
        <f t="shared" ref="K2320" si="3289">(IF(F2320="SELL",G2320-H2320,IF(F2320="BUY",H2320-G2320)))*E2320</f>
        <v>1875</v>
      </c>
      <c r="L2320" s="51">
        <v>0</v>
      </c>
      <c r="M2320" s="52">
        <v>0</v>
      </c>
      <c r="N2320" s="2">
        <f t="shared" si="3285"/>
        <v>0.5</v>
      </c>
      <c r="O2320" s="2">
        <f t="shared" si="3225"/>
        <v>1875</v>
      </c>
      <c r="P2320" s="13"/>
      <c r="Q2320" s="13"/>
      <c r="R2320" s="13"/>
      <c r="S2320" s="13"/>
      <c r="T2320" s="13"/>
      <c r="U2320" s="13"/>
      <c r="V2320" s="13"/>
      <c r="W2320" s="13"/>
      <c r="X2320" s="13"/>
      <c r="Y2320" s="13"/>
      <c r="Z2320" s="13"/>
      <c r="AA2320" s="13"/>
      <c r="AB2320" s="13"/>
      <c r="AC2320" s="13"/>
      <c r="AD2320" s="13"/>
      <c r="AE2320" s="13"/>
      <c r="AF2320" s="13"/>
      <c r="AG2320" s="13"/>
    </row>
    <row r="2321" spans="1:33" s="14" customFormat="1" ht="15" customHeight="1">
      <c r="A2321" s="10">
        <v>42969</v>
      </c>
      <c r="B2321" s="3" t="s">
        <v>172</v>
      </c>
      <c r="C2321" s="15" t="s">
        <v>47</v>
      </c>
      <c r="D2321" s="15">
        <v>450</v>
      </c>
      <c r="E2321" s="11">
        <v>1575</v>
      </c>
      <c r="F2321" s="3" t="s">
        <v>8</v>
      </c>
      <c r="G2321" s="46">
        <v>11</v>
      </c>
      <c r="H2321" s="3">
        <v>13</v>
      </c>
      <c r="I2321" s="46">
        <v>17</v>
      </c>
      <c r="J2321" s="55">
        <v>0</v>
      </c>
      <c r="K2321" s="1">
        <f t="shared" ref="K2321" si="3290">(IF(F2321="SELL",G2321-H2321,IF(F2321="BUY",H2321-G2321)))*E2321</f>
        <v>3150</v>
      </c>
      <c r="L2321" s="51">
        <f>(IF(F2321="SELL",IF(I2321="",0,H2321-I2321),IF(F2321="BUY",IF(I2321="",0,I2321-H2321))))*E2321</f>
        <v>6300</v>
      </c>
      <c r="M2321" s="52">
        <v>0</v>
      </c>
      <c r="N2321" s="2">
        <f t="shared" si="3285"/>
        <v>6</v>
      </c>
      <c r="O2321" s="2">
        <f t="shared" si="3225"/>
        <v>9450</v>
      </c>
      <c r="P2321" s="13"/>
      <c r="Q2321" s="13"/>
      <c r="R2321" s="13"/>
      <c r="S2321" s="13"/>
      <c r="T2321" s="13"/>
      <c r="U2321" s="13"/>
      <c r="V2321" s="13"/>
      <c r="W2321" s="13"/>
      <c r="X2321" s="13"/>
      <c r="Y2321" s="13"/>
      <c r="Z2321" s="13"/>
      <c r="AA2321" s="13"/>
      <c r="AB2321" s="13"/>
      <c r="AC2321" s="13"/>
      <c r="AD2321" s="13"/>
      <c r="AE2321" s="13"/>
      <c r="AF2321" s="13"/>
      <c r="AG2321" s="13"/>
    </row>
    <row r="2322" spans="1:33" s="14" customFormat="1" ht="15" customHeight="1">
      <c r="A2322" s="10">
        <v>42968</v>
      </c>
      <c r="B2322" s="3" t="s">
        <v>171</v>
      </c>
      <c r="C2322" s="15" t="s">
        <v>47</v>
      </c>
      <c r="D2322" s="15">
        <v>880</v>
      </c>
      <c r="E2322" s="11">
        <v>1000</v>
      </c>
      <c r="F2322" s="3" t="s">
        <v>8</v>
      </c>
      <c r="G2322" s="46">
        <v>35.25</v>
      </c>
      <c r="H2322" s="3">
        <v>29</v>
      </c>
      <c r="I2322" s="46">
        <v>0</v>
      </c>
      <c r="J2322" s="55">
        <v>0</v>
      </c>
      <c r="K2322" s="1">
        <f t="shared" ref="K2322" si="3291">(IF(F2322="SELL",G2322-H2322,IF(F2322="BUY",H2322-G2322)))*E2322</f>
        <v>-6250</v>
      </c>
      <c r="L2322" s="51">
        <v>0</v>
      </c>
      <c r="M2322" s="52">
        <v>0</v>
      </c>
      <c r="N2322" s="2">
        <f t="shared" si="3285"/>
        <v>-6.25</v>
      </c>
      <c r="O2322" s="2">
        <f t="shared" si="3225"/>
        <v>-6250</v>
      </c>
      <c r="P2322" s="13"/>
      <c r="Q2322" s="13"/>
      <c r="R2322" s="13"/>
      <c r="S2322" s="13"/>
      <c r="T2322" s="13"/>
      <c r="U2322" s="13"/>
      <c r="V2322" s="13"/>
      <c r="W2322" s="13"/>
      <c r="X2322" s="13"/>
      <c r="Y2322" s="13"/>
      <c r="Z2322" s="13"/>
      <c r="AA2322" s="13"/>
      <c r="AB2322" s="13"/>
      <c r="AC2322" s="13"/>
      <c r="AD2322" s="13"/>
      <c r="AE2322" s="13"/>
      <c r="AF2322" s="13"/>
      <c r="AG2322" s="13"/>
    </row>
    <row r="2323" spans="1:33" s="14" customFormat="1" ht="15" customHeight="1">
      <c r="A2323" s="10">
        <v>42968</v>
      </c>
      <c r="B2323" s="3" t="s">
        <v>170</v>
      </c>
      <c r="C2323" s="15" t="s">
        <v>46</v>
      </c>
      <c r="D2323" s="15">
        <v>145</v>
      </c>
      <c r="E2323" s="11">
        <v>3500</v>
      </c>
      <c r="F2323" s="3" t="s">
        <v>8</v>
      </c>
      <c r="G2323" s="46">
        <v>4</v>
      </c>
      <c r="H2323" s="3">
        <v>4.5</v>
      </c>
      <c r="I2323" s="46">
        <v>5.5</v>
      </c>
      <c r="J2323" s="55">
        <v>0</v>
      </c>
      <c r="K2323" s="1">
        <f t="shared" ref="K2323" si="3292">(IF(F2323="SELL",G2323-H2323,IF(F2323="BUY",H2323-G2323)))*E2323</f>
        <v>1750</v>
      </c>
      <c r="L2323" s="51">
        <f>(IF(F2323="SELL",IF(I2323="",0,H2323-I2323),IF(F2323="BUY",IF(I2323="",0,I2323-H2323))))*E2323</f>
        <v>3500</v>
      </c>
      <c r="M2323" s="52">
        <v>0</v>
      </c>
      <c r="N2323" s="2">
        <f t="shared" si="3285"/>
        <v>1.5</v>
      </c>
      <c r="O2323" s="2">
        <f t="shared" si="3225"/>
        <v>5250</v>
      </c>
      <c r="P2323" s="13"/>
      <c r="Q2323" s="13"/>
      <c r="R2323" s="13"/>
      <c r="S2323" s="13"/>
      <c r="T2323" s="13"/>
      <c r="U2323" s="13"/>
      <c r="V2323" s="13"/>
      <c r="W2323" s="13"/>
      <c r="X2323" s="13"/>
      <c r="Y2323" s="13"/>
      <c r="Z2323" s="13"/>
      <c r="AA2323" s="13"/>
      <c r="AB2323" s="13"/>
      <c r="AC2323" s="13"/>
      <c r="AD2323" s="13"/>
      <c r="AE2323" s="13"/>
      <c r="AF2323" s="13"/>
      <c r="AG2323" s="13"/>
    </row>
    <row r="2324" spans="1:33" s="14" customFormat="1" ht="15" customHeight="1">
      <c r="A2324" s="10">
        <v>42968</v>
      </c>
      <c r="B2324" s="3" t="s">
        <v>169</v>
      </c>
      <c r="C2324" s="15" t="s">
        <v>46</v>
      </c>
      <c r="D2324" s="15">
        <v>720</v>
      </c>
      <c r="E2324" s="11">
        <v>1000</v>
      </c>
      <c r="F2324" s="3" t="s">
        <v>8</v>
      </c>
      <c r="G2324" s="46">
        <v>17</v>
      </c>
      <c r="H2324" s="3">
        <v>20.5</v>
      </c>
      <c r="I2324" s="46">
        <v>22</v>
      </c>
      <c r="J2324" s="55">
        <v>24.8</v>
      </c>
      <c r="K2324" s="1">
        <f t="shared" ref="K2324" si="3293">(IF(F2324="SELL",G2324-H2324,IF(F2324="BUY",H2324-G2324)))*E2324</f>
        <v>3500</v>
      </c>
      <c r="L2324" s="51">
        <f>(IF(F2324="SELL",IF(I2324="",0,H2324-I2324),IF(F2324="BUY",IF(I2324="",0,I2324-H2324))))*E2324</f>
        <v>1500</v>
      </c>
      <c r="M2324" s="52">
        <f>(IF(F2324="SELL",IF(J2324="",0,I2324-J2324),IF(F2324="BUY",IF(J2324="",0,(J2324-I2324)))))*E2324</f>
        <v>2800.0000000000009</v>
      </c>
      <c r="N2324" s="2">
        <f t="shared" si="3285"/>
        <v>7.8000000000000007</v>
      </c>
      <c r="O2324" s="2">
        <f t="shared" si="3225"/>
        <v>7800.0000000000009</v>
      </c>
      <c r="P2324" s="13"/>
      <c r="Q2324" s="13"/>
      <c r="R2324" s="13"/>
      <c r="S2324" s="13"/>
      <c r="T2324" s="13"/>
      <c r="U2324" s="13"/>
      <c r="V2324" s="13"/>
      <c r="W2324" s="13"/>
      <c r="X2324" s="13"/>
      <c r="Y2324" s="13"/>
      <c r="Z2324" s="13"/>
      <c r="AA2324" s="13"/>
      <c r="AB2324" s="13"/>
      <c r="AC2324" s="13"/>
      <c r="AD2324" s="13"/>
      <c r="AE2324" s="13"/>
      <c r="AF2324" s="13"/>
      <c r="AG2324" s="13"/>
    </row>
    <row r="2325" spans="1:33" s="14" customFormat="1" ht="15" customHeight="1">
      <c r="A2325" s="10">
        <v>42968</v>
      </c>
      <c r="B2325" s="3" t="s">
        <v>34</v>
      </c>
      <c r="C2325" s="15" t="s">
        <v>46</v>
      </c>
      <c r="D2325" s="15">
        <v>230</v>
      </c>
      <c r="E2325" s="11">
        <v>3500</v>
      </c>
      <c r="F2325" s="3" t="s">
        <v>8</v>
      </c>
      <c r="G2325" s="46">
        <v>5.25</v>
      </c>
      <c r="H2325" s="3">
        <v>5.75</v>
      </c>
      <c r="I2325" s="46">
        <v>6.5</v>
      </c>
      <c r="J2325" s="55">
        <v>7.5</v>
      </c>
      <c r="K2325" s="1">
        <f t="shared" ref="K2325" si="3294">(IF(F2325="SELL",G2325-H2325,IF(F2325="BUY",H2325-G2325)))*E2325</f>
        <v>1750</v>
      </c>
      <c r="L2325" s="51">
        <f>(IF(F2325="SELL",IF(I2325="",0,H2325-I2325),IF(F2325="BUY",IF(I2325="",0,I2325-H2325))))*E2325</f>
        <v>2625</v>
      </c>
      <c r="M2325" s="52">
        <f>(IF(F2325="SELL",IF(J2325="",0,I2325-J2325),IF(F2325="BUY",IF(J2325="",0,(J2325-I2325)))))*E2325</f>
        <v>3500</v>
      </c>
      <c r="N2325" s="2">
        <f t="shared" si="3285"/>
        <v>2.25</v>
      </c>
      <c r="O2325" s="2">
        <f t="shared" si="3225"/>
        <v>7875</v>
      </c>
      <c r="P2325" s="13"/>
      <c r="Q2325" s="13"/>
      <c r="R2325" s="13"/>
      <c r="S2325" s="13"/>
      <c r="T2325" s="13"/>
      <c r="U2325" s="13"/>
      <c r="V2325" s="13"/>
      <c r="W2325" s="13"/>
      <c r="X2325" s="13"/>
      <c r="Y2325" s="13"/>
      <c r="Z2325" s="13"/>
      <c r="AA2325" s="13"/>
      <c r="AB2325" s="13"/>
      <c r="AC2325" s="13"/>
      <c r="AD2325" s="13"/>
      <c r="AE2325" s="13"/>
      <c r="AF2325" s="13"/>
      <c r="AG2325" s="13"/>
    </row>
    <row r="2326" spans="1:33" s="14" customFormat="1" ht="15" customHeight="1">
      <c r="A2326" s="10">
        <v>42968</v>
      </c>
      <c r="B2326" s="3" t="s">
        <v>168</v>
      </c>
      <c r="C2326" s="15" t="s">
        <v>46</v>
      </c>
      <c r="D2326" s="15">
        <v>300</v>
      </c>
      <c r="E2326" s="11">
        <v>2000</v>
      </c>
      <c r="F2326" s="3" t="s">
        <v>8</v>
      </c>
      <c r="G2326" s="46">
        <v>9</v>
      </c>
      <c r="H2326" s="3">
        <v>10</v>
      </c>
      <c r="I2326" s="46">
        <v>0</v>
      </c>
      <c r="J2326" s="55">
        <v>0</v>
      </c>
      <c r="K2326" s="1">
        <f t="shared" ref="K2326" si="3295">(IF(F2326="SELL",G2326-H2326,IF(F2326="BUY",H2326-G2326)))*E2326</f>
        <v>2000</v>
      </c>
      <c r="L2326" s="51">
        <v>0</v>
      </c>
      <c r="M2326" s="52">
        <v>0</v>
      </c>
      <c r="N2326" s="2">
        <f t="shared" si="3285"/>
        <v>1</v>
      </c>
      <c r="O2326" s="2">
        <f t="shared" si="3225"/>
        <v>2000</v>
      </c>
      <c r="P2326" s="13"/>
      <c r="Q2326" s="13"/>
      <c r="R2326" s="13"/>
      <c r="S2326" s="13"/>
      <c r="T2326" s="13"/>
      <c r="U2326" s="13"/>
      <c r="V2326" s="13"/>
      <c r="W2326" s="13"/>
      <c r="X2326" s="13"/>
      <c r="Y2326" s="13"/>
      <c r="Z2326" s="13"/>
      <c r="AA2326" s="13"/>
      <c r="AB2326" s="13"/>
      <c r="AC2326" s="13"/>
      <c r="AD2326" s="13"/>
      <c r="AE2326" s="13"/>
      <c r="AF2326" s="13"/>
      <c r="AG2326" s="13"/>
    </row>
    <row r="2327" spans="1:33" s="14" customFormat="1" ht="15" customHeight="1">
      <c r="A2327" s="10">
        <v>42965</v>
      </c>
      <c r="B2327" s="3" t="s">
        <v>167</v>
      </c>
      <c r="C2327" s="15" t="s">
        <v>47</v>
      </c>
      <c r="D2327" s="15">
        <v>860</v>
      </c>
      <c r="E2327" s="11">
        <v>1000</v>
      </c>
      <c r="F2327" s="3" t="s">
        <v>8</v>
      </c>
      <c r="G2327" s="46">
        <v>33</v>
      </c>
      <c r="H2327" s="3">
        <v>38</v>
      </c>
      <c r="I2327" s="46">
        <v>0</v>
      </c>
      <c r="J2327" s="55">
        <v>0</v>
      </c>
      <c r="K2327" s="1">
        <f t="shared" ref="K2327" si="3296">(IF(F2327="SELL",G2327-H2327,IF(F2327="BUY",H2327-G2327)))*E2327</f>
        <v>5000</v>
      </c>
      <c r="L2327" s="51">
        <v>0</v>
      </c>
      <c r="M2327" s="52">
        <v>0</v>
      </c>
      <c r="N2327" s="2">
        <f t="shared" si="3285"/>
        <v>5</v>
      </c>
      <c r="O2327" s="2">
        <f t="shared" si="3225"/>
        <v>5000</v>
      </c>
      <c r="P2327" s="13"/>
      <c r="Q2327" s="13"/>
      <c r="R2327" s="13"/>
      <c r="S2327" s="13"/>
      <c r="T2327" s="13"/>
      <c r="U2327" s="13"/>
      <c r="V2327" s="13"/>
      <c r="W2327" s="13"/>
      <c r="X2327" s="13"/>
      <c r="Y2327" s="13"/>
      <c r="Z2327" s="13"/>
      <c r="AA2327" s="13"/>
      <c r="AB2327" s="13"/>
      <c r="AC2327" s="13"/>
      <c r="AD2327" s="13"/>
      <c r="AE2327" s="13"/>
      <c r="AF2327" s="13"/>
      <c r="AG2327" s="13"/>
    </row>
    <row r="2328" spans="1:33" s="14" customFormat="1" ht="15" customHeight="1">
      <c r="A2328" s="10">
        <v>42965</v>
      </c>
      <c r="B2328" s="3" t="s">
        <v>72</v>
      </c>
      <c r="C2328" s="15" t="s">
        <v>47</v>
      </c>
      <c r="D2328" s="15">
        <v>500</v>
      </c>
      <c r="E2328" s="11">
        <v>1800</v>
      </c>
      <c r="F2328" s="3" t="s">
        <v>8</v>
      </c>
      <c r="G2328" s="46">
        <v>17</v>
      </c>
      <c r="H2328" s="3">
        <v>18.5</v>
      </c>
      <c r="I2328" s="46">
        <v>0</v>
      </c>
      <c r="J2328" s="55">
        <v>0</v>
      </c>
      <c r="K2328" s="1">
        <f t="shared" ref="K2328" si="3297">(IF(F2328="SELL",G2328-H2328,IF(F2328="BUY",H2328-G2328)))*E2328</f>
        <v>2700</v>
      </c>
      <c r="L2328" s="51">
        <v>0</v>
      </c>
      <c r="M2328" s="52">
        <v>0</v>
      </c>
      <c r="N2328" s="2">
        <f t="shared" si="3285"/>
        <v>1.5</v>
      </c>
      <c r="O2328" s="2">
        <f t="shared" si="3225"/>
        <v>2700</v>
      </c>
      <c r="P2328" s="13"/>
      <c r="Q2328" s="13"/>
      <c r="R2328" s="13"/>
      <c r="S2328" s="13"/>
      <c r="T2328" s="13"/>
      <c r="U2328" s="13"/>
      <c r="V2328" s="13"/>
      <c r="W2328" s="13"/>
      <c r="X2328" s="13"/>
      <c r="Y2328" s="13"/>
      <c r="Z2328" s="13"/>
      <c r="AA2328" s="13"/>
      <c r="AB2328" s="13"/>
      <c r="AC2328" s="13"/>
      <c r="AD2328" s="13"/>
      <c r="AE2328" s="13"/>
      <c r="AF2328" s="13"/>
      <c r="AG2328" s="13"/>
    </row>
    <row r="2329" spans="1:33" s="14" customFormat="1" ht="15" customHeight="1">
      <c r="A2329" s="10">
        <v>42965</v>
      </c>
      <c r="B2329" s="3" t="s">
        <v>166</v>
      </c>
      <c r="C2329" s="15" t="s">
        <v>47</v>
      </c>
      <c r="D2329" s="15">
        <v>230</v>
      </c>
      <c r="E2329" s="11">
        <v>3500</v>
      </c>
      <c r="F2329" s="3" t="s">
        <v>8</v>
      </c>
      <c r="G2329" s="46">
        <v>6.5</v>
      </c>
      <c r="H2329" s="3">
        <v>7</v>
      </c>
      <c r="I2329" s="46">
        <v>0</v>
      </c>
      <c r="J2329" s="55">
        <v>0</v>
      </c>
      <c r="K2329" s="1">
        <f t="shared" ref="K2329" si="3298">(IF(F2329="SELL",G2329-H2329,IF(F2329="BUY",H2329-G2329)))*E2329</f>
        <v>1750</v>
      </c>
      <c r="L2329" s="51">
        <v>0</v>
      </c>
      <c r="M2329" s="52">
        <v>0</v>
      </c>
      <c r="N2329" s="2">
        <f t="shared" si="3285"/>
        <v>0.5</v>
      </c>
      <c r="O2329" s="2">
        <f t="shared" si="3225"/>
        <v>1750</v>
      </c>
      <c r="P2329" s="13"/>
      <c r="Q2329" s="13"/>
      <c r="R2329" s="13"/>
      <c r="S2329" s="13"/>
      <c r="T2329" s="13"/>
      <c r="U2329" s="13"/>
      <c r="V2329" s="13"/>
      <c r="W2329" s="13"/>
      <c r="X2329" s="13"/>
      <c r="Y2329" s="13"/>
      <c r="Z2329" s="13"/>
      <c r="AA2329" s="13"/>
      <c r="AB2329" s="13"/>
      <c r="AC2329" s="13"/>
      <c r="AD2329" s="13"/>
      <c r="AE2329" s="13"/>
      <c r="AF2329" s="13"/>
      <c r="AG2329" s="13"/>
    </row>
    <row r="2330" spans="1:33" s="14" customFormat="1" ht="15" customHeight="1">
      <c r="A2330" s="10">
        <v>42965</v>
      </c>
      <c r="B2330" s="3" t="s">
        <v>165</v>
      </c>
      <c r="C2330" s="15" t="s">
        <v>46</v>
      </c>
      <c r="D2330" s="15">
        <v>390</v>
      </c>
      <c r="E2330" s="11">
        <v>2500</v>
      </c>
      <c r="F2330" s="3" t="s">
        <v>8</v>
      </c>
      <c r="G2330" s="46">
        <v>11</v>
      </c>
      <c r="H2330" s="3">
        <v>11.7</v>
      </c>
      <c r="I2330" s="46">
        <v>0</v>
      </c>
      <c r="J2330" s="55">
        <v>0</v>
      </c>
      <c r="K2330" s="1">
        <f t="shared" ref="K2330" si="3299">(IF(F2330="SELL",G2330-H2330,IF(F2330="BUY",H2330-G2330)))*E2330</f>
        <v>1749.9999999999982</v>
      </c>
      <c r="L2330" s="51">
        <v>0</v>
      </c>
      <c r="M2330" s="52">
        <v>0</v>
      </c>
      <c r="N2330" s="2">
        <f t="shared" si="3285"/>
        <v>0.69999999999999929</v>
      </c>
      <c r="O2330" s="2">
        <f t="shared" si="3225"/>
        <v>1749.9999999999982</v>
      </c>
      <c r="P2330" s="13"/>
      <c r="Q2330" s="13"/>
      <c r="R2330" s="13"/>
      <c r="S2330" s="13"/>
      <c r="T2330" s="13"/>
      <c r="U2330" s="13"/>
      <c r="V2330" s="13"/>
      <c r="W2330" s="13"/>
      <c r="X2330" s="13"/>
      <c r="Y2330" s="13"/>
      <c r="Z2330" s="13"/>
      <c r="AA2330" s="13"/>
      <c r="AB2330" s="13"/>
      <c r="AC2330" s="13"/>
      <c r="AD2330" s="13"/>
      <c r="AE2330" s="13"/>
      <c r="AF2330" s="13"/>
      <c r="AG2330" s="13"/>
    </row>
    <row r="2331" spans="1:33" s="14" customFormat="1" ht="15" customHeight="1">
      <c r="A2331" s="10">
        <v>42964</v>
      </c>
      <c r="B2331" s="3" t="s">
        <v>164</v>
      </c>
      <c r="C2331" s="15" t="s">
        <v>47</v>
      </c>
      <c r="D2331" s="15">
        <v>300</v>
      </c>
      <c r="E2331" s="11">
        <v>3500</v>
      </c>
      <c r="F2331" s="3" t="s">
        <v>8</v>
      </c>
      <c r="G2331" s="46">
        <v>13.05</v>
      </c>
      <c r="H2331" s="3">
        <v>13.5</v>
      </c>
      <c r="I2331" s="46">
        <v>0</v>
      </c>
      <c r="J2331" s="55">
        <v>0</v>
      </c>
      <c r="K2331" s="1">
        <f t="shared" ref="K2331" si="3300">(IF(F2331="SELL",G2331-H2331,IF(F2331="BUY",H2331-G2331)))*E2331</f>
        <v>1574.9999999999975</v>
      </c>
      <c r="L2331" s="51">
        <v>0</v>
      </c>
      <c r="M2331" s="52">
        <v>0</v>
      </c>
      <c r="N2331" s="2">
        <f t="shared" si="3285"/>
        <v>0.44999999999999929</v>
      </c>
      <c r="O2331" s="2">
        <f t="shared" si="3225"/>
        <v>1574.9999999999975</v>
      </c>
      <c r="P2331" s="13"/>
      <c r="Q2331" s="13"/>
      <c r="R2331" s="13"/>
      <c r="S2331" s="13"/>
      <c r="T2331" s="13"/>
      <c r="U2331" s="13"/>
      <c r="V2331" s="13"/>
      <c r="W2331" s="13"/>
      <c r="X2331" s="13"/>
      <c r="Y2331" s="13"/>
      <c r="Z2331" s="13"/>
      <c r="AA2331" s="13"/>
      <c r="AB2331" s="13"/>
      <c r="AC2331" s="13"/>
      <c r="AD2331" s="13"/>
      <c r="AE2331" s="13"/>
      <c r="AF2331" s="13"/>
      <c r="AG2331" s="13"/>
    </row>
    <row r="2332" spans="1:33" s="14" customFormat="1" ht="15" customHeight="1">
      <c r="A2332" s="10">
        <v>42963</v>
      </c>
      <c r="B2332" s="3" t="s">
        <v>162</v>
      </c>
      <c r="C2332" s="15" t="s">
        <v>47</v>
      </c>
      <c r="D2332" s="15">
        <v>1440</v>
      </c>
      <c r="E2332" s="11">
        <v>500</v>
      </c>
      <c r="F2332" s="3" t="s">
        <v>8</v>
      </c>
      <c r="G2332" s="46">
        <v>50</v>
      </c>
      <c r="H2332" s="3">
        <v>40</v>
      </c>
      <c r="I2332" s="46">
        <v>0</v>
      </c>
      <c r="J2332" s="55">
        <v>0</v>
      </c>
      <c r="K2332" s="1">
        <f t="shared" ref="K2332" si="3301">(IF(F2332="SELL",G2332-H2332,IF(F2332="BUY",H2332-G2332)))*E2332</f>
        <v>-5000</v>
      </c>
      <c r="L2332" s="51">
        <v>0</v>
      </c>
      <c r="M2332" s="52">
        <v>0</v>
      </c>
      <c r="N2332" s="2">
        <f t="shared" si="3285"/>
        <v>-10</v>
      </c>
      <c r="O2332" s="2">
        <f t="shared" si="3225"/>
        <v>-5000</v>
      </c>
      <c r="P2332" s="13"/>
      <c r="Q2332" s="13"/>
      <c r="R2332" s="13"/>
      <c r="S2332" s="13"/>
      <c r="T2332" s="13"/>
      <c r="U2332" s="13"/>
      <c r="V2332" s="13"/>
      <c r="W2332" s="13"/>
      <c r="X2332" s="13"/>
      <c r="Y2332" s="13"/>
      <c r="Z2332" s="13"/>
      <c r="AA2332" s="13"/>
      <c r="AB2332" s="13"/>
      <c r="AC2332" s="13"/>
      <c r="AD2332" s="13"/>
      <c r="AE2332" s="13"/>
      <c r="AF2332" s="13"/>
      <c r="AG2332" s="13"/>
    </row>
    <row r="2333" spans="1:33" s="14" customFormat="1" ht="15" customHeight="1">
      <c r="A2333" s="10">
        <v>42963</v>
      </c>
      <c r="B2333" s="3" t="s">
        <v>163</v>
      </c>
      <c r="C2333" s="15" t="s">
        <v>47</v>
      </c>
      <c r="D2333" s="15">
        <v>290</v>
      </c>
      <c r="E2333" s="11">
        <v>3200</v>
      </c>
      <c r="F2333" s="3" t="s">
        <v>8</v>
      </c>
      <c r="G2333" s="46">
        <v>8.5</v>
      </c>
      <c r="H2333" s="3">
        <v>9</v>
      </c>
      <c r="I2333" s="46">
        <v>0</v>
      </c>
      <c r="J2333" s="55">
        <v>0</v>
      </c>
      <c r="K2333" s="1">
        <f t="shared" ref="K2333" si="3302">(IF(F2333="SELL",G2333-H2333,IF(F2333="BUY",H2333-G2333)))*E2333</f>
        <v>1600</v>
      </c>
      <c r="L2333" s="51">
        <v>0</v>
      </c>
      <c r="M2333" s="52">
        <v>0</v>
      </c>
      <c r="N2333" s="2">
        <f t="shared" si="3285"/>
        <v>0.5</v>
      </c>
      <c r="O2333" s="2">
        <f t="shared" si="3225"/>
        <v>1600</v>
      </c>
      <c r="P2333" s="13"/>
      <c r="Q2333" s="13"/>
      <c r="R2333" s="13"/>
      <c r="S2333" s="13"/>
      <c r="T2333" s="13"/>
      <c r="U2333" s="13"/>
      <c r="V2333" s="13"/>
      <c r="W2333" s="13"/>
      <c r="X2333" s="13"/>
      <c r="Y2333" s="13"/>
      <c r="Z2333" s="13"/>
      <c r="AA2333" s="13"/>
      <c r="AB2333" s="13"/>
      <c r="AC2333" s="13"/>
      <c r="AD2333" s="13"/>
      <c r="AE2333" s="13"/>
      <c r="AF2333" s="13"/>
      <c r="AG2333" s="13"/>
    </row>
    <row r="2334" spans="1:33" s="14" customFormat="1" ht="15" customHeight="1">
      <c r="A2334" s="10">
        <v>42961</v>
      </c>
      <c r="B2334" s="3" t="s">
        <v>26</v>
      </c>
      <c r="C2334" s="15" t="s">
        <v>47</v>
      </c>
      <c r="D2334" s="15">
        <v>600</v>
      </c>
      <c r="E2334" s="11">
        <v>2000</v>
      </c>
      <c r="F2334" s="3" t="s">
        <v>8</v>
      </c>
      <c r="G2334" s="46">
        <v>16.3</v>
      </c>
      <c r="H2334" s="3">
        <v>17.3</v>
      </c>
      <c r="I2334" s="46">
        <v>18.7</v>
      </c>
      <c r="J2334" s="55">
        <v>0</v>
      </c>
      <c r="K2334" s="1">
        <f t="shared" ref="K2334" si="3303">(IF(F2334="SELL",G2334-H2334,IF(F2334="BUY",H2334-G2334)))*E2334</f>
        <v>2000</v>
      </c>
      <c r="L2334" s="51">
        <f>(IF(F2334="SELL",IF(I2334="",0,H2334-I2334),IF(F2334="BUY",IF(I2334="",0,I2334-H2334))))*E2334</f>
        <v>2799.9999999999973</v>
      </c>
      <c r="M2334" s="52">
        <v>0</v>
      </c>
      <c r="N2334" s="2">
        <f t="shared" si="3285"/>
        <v>2.3999999999999986</v>
      </c>
      <c r="O2334" s="2">
        <f t="shared" si="3225"/>
        <v>4799.9999999999973</v>
      </c>
      <c r="P2334" s="13"/>
      <c r="Q2334" s="13"/>
      <c r="R2334" s="13"/>
      <c r="S2334" s="13"/>
      <c r="T2334" s="13"/>
      <c r="U2334" s="13"/>
      <c r="V2334" s="13"/>
      <c r="W2334" s="13"/>
      <c r="X2334" s="13"/>
      <c r="Y2334" s="13"/>
      <c r="Z2334" s="13"/>
      <c r="AA2334" s="13"/>
      <c r="AB2334" s="13"/>
      <c r="AC2334" s="13"/>
      <c r="AD2334" s="13"/>
      <c r="AE2334" s="13"/>
      <c r="AF2334" s="13"/>
      <c r="AG2334" s="13"/>
    </row>
    <row r="2335" spans="1:33" s="14" customFormat="1" ht="15" customHeight="1">
      <c r="A2335" s="10">
        <v>42961</v>
      </c>
      <c r="B2335" s="3" t="s">
        <v>162</v>
      </c>
      <c r="C2335" s="15" t="s">
        <v>47</v>
      </c>
      <c r="D2335" s="15">
        <v>1340</v>
      </c>
      <c r="E2335" s="11">
        <v>500</v>
      </c>
      <c r="F2335" s="3" t="s">
        <v>8</v>
      </c>
      <c r="G2335" s="46">
        <v>52</v>
      </c>
      <c r="H2335" s="3">
        <v>56</v>
      </c>
      <c r="I2335" s="46">
        <v>0</v>
      </c>
      <c r="J2335" s="55">
        <v>0</v>
      </c>
      <c r="K2335" s="1">
        <f t="shared" ref="K2335" si="3304">(IF(F2335="SELL",G2335-H2335,IF(F2335="BUY",H2335-G2335)))*E2335</f>
        <v>2000</v>
      </c>
      <c r="L2335" s="51">
        <v>0</v>
      </c>
      <c r="M2335" s="52">
        <v>0</v>
      </c>
      <c r="N2335" s="2">
        <f t="shared" si="3285"/>
        <v>4</v>
      </c>
      <c r="O2335" s="2">
        <f t="shared" si="3225"/>
        <v>2000</v>
      </c>
      <c r="P2335" s="13"/>
      <c r="Q2335" s="13"/>
      <c r="R2335" s="13"/>
      <c r="S2335" s="13"/>
      <c r="T2335" s="13"/>
      <c r="U2335" s="13"/>
      <c r="V2335" s="13"/>
      <c r="W2335" s="13"/>
      <c r="X2335" s="13"/>
      <c r="Y2335" s="13"/>
      <c r="Z2335" s="13"/>
      <c r="AA2335" s="13"/>
      <c r="AB2335" s="13"/>
      <c r="AC2335" s="13"/>
      <c r="AD2335" s="13"/>
      <c r="AE2335" s="13"/>
      <c r="AF2335" s="13"/>
      <c r="AG2335" s="13"/>
    </row>
    <row r="2336" spans="1:33" s="14" customFormat="1" ht="15" customHeight="1">
      <c r="A2336" s="10">
        <v>42961</v>
      </c>
      <c r="B2336" s="3" t="s">
        <v>60</v>
      </c>
      <c r="C2336" s="15" t="s">
        <v>47</v>
      </c>
      <c r="D2336" s="15">
        <v>290</v>
      </c>
      <c r="E2336" s="11">
        <v>3500</v>
      </c>
      <c r="F2336" s="3" t="s">
        <v>8</v>
      </c>
      <c r="G2336" s="46">
        <v>8.6</v>
      </c>
      <c r="H2336" s="3">
        <v>9.1</v>
      </c>
      <c r="I2336" s="46">
        <v>10</v>
      </c>
      <c r="J2336" s="55">
        <v>0</v>
      </c>
      <c r="K2336" s="1">
        <f t="shared" ref="K2336:K2337" si="3305">(IF(F2336="SELL",G2336-H2336,IF(F2336="BUY",H2336-G2336)))*E2336</f>
        <v>1750</v>
      </c>
      <c r="L2336" s="51">
        <f>(IF(F2336="SELL",IF(I2336="",0,H2336-I2336),IF(F2336="BUY",IF(I2336="",0,I2336-H2336))))*E2336</f>
        <v>3150.0000000000014</v>
      </c>
      <c r="M2336" s="52">
        <v>0</v>
      </c>
      <c r="N2336" s="2">
        <f t="shared" si="3285"/>
        <v>1.4000000000000006</v>
      </c>
      <c r="O2336" s="2">
        <f t="shared" ref="O2336:O2399" si="3306">N2336*E2336</f>
        <v>4900.0000000000018</v>
      </c>
      <c r="P2336" s="13"/>
      <c r="Q2336" s="13"/>
      <c r="R2336" s="13"/>
      <c r="S2336" s="13"/>
      <c r="T2336" s="13"/>
      <c r="U2336" s="13"/>
      <c r="V2336" s="13"/>
      <c r="W2336" s="13"/>
      <c r="X2336" s="13"/>
      <c r="Y2336" s="13"/>
      <c r="Z2336" s="13"/>
      <c r="AA2336" s="13"/>
      <c r="AB2336" s="13"/>
      <c r="AC2336" s="13"/>
      <c r="AD2336" s="13"/>
      <c r="AE2336" s="13"/>
      <c r="AF2336" s="13"/>
      <c r="AG2336" s="13"/>
    </row>
    <row r="2337" spans="1:33" s="14" customFormat="1" ht="15" customHeight="1">
      <c r="A2337" s="10">
        <v>42958</v>
      </c>
      <c r="B2337" s="3" t="s">
        <v>39</v>
      </c>
      <c r="C2337" s="15" t="s">
        <v>46</v>
      </c>
      <c r="D2337" s="15">
        <v>1560</v>
      </c>
      <c r="E2337" s="11">
        <v>500</v>
      </c>
      <c r="F2337" s="3" t="s">
        <v>8</v>
      </c>
      <c r="G2337" s="46">
        <v>36</v>
      </c>
      <c r="H2337" s="3">
        <v>39</v>
      </c>
      <c r="I2337" s="46">
        <v>45</v>
      </c>
      <c r="J2337" s="55">
        <v>0</v>
      </c>
      <c r="K2337" s="1">
        <f t="shared" si="3305"/>
        <v>1500</v>
      </c>
      <c r="L2337" s="51">
        <f>(IF(F2337="SELL",IF(I2337="",0,H2337-I2337),IF(F2337="BUY",IF(I2337="",0,I2337-H2337))))*E2337</f>
        <v>3000</v>
      </c>
      <c r="M2337" s="52">
        <v>0</v>
      </c>
      <c r="N2337" s="2">
        <f t="shared" si="3285"/>
        <v>9</v>
      </c>
      <c r="O2337" s="2">
        <f t="shared" si="3306"/>
        <v>4500</v>
      </c>
      <c r="P2337" s="13"/>
      <c r="Q2337" s="13"/>
      <c r="R2337" s="13"/>
      <c r="S2337" s="13"/>
      <c r="T2337" s="13"/>
      <c r="U2337" s="13"/>
      <c r="V2337" s="13"/>
      <c r="W2337" s="13"/>
      <c r="X2337" s="13"/>
      <c r="Y2337" s="13"/>
      <c r="Z2337" s="13"/>
      <c r="AA2337" s="13"/>
      <c r="AB2337" s="13"/>
      <c r="AC2337" s="13"/>
      <c r="AD2337" s="13"/>
      <c r="AE2337" s="13"/>
      <c r="AF2337" s="13"/>
      <c r="AG2337" s="13"/>
    </row>
    <row r="2338" spans="1:33" s="14" customFormat="1" ht="15" customHeight="1">
      <c r="A2338" s="10">
        <v>42958</v>
      </c>
      <c r="B2338" s="3" t="s">
        <v>21</v>
      </c>
      <c r="C2338" s="15" t="s">
        <v>47</v>
      </c>
      <c r="D2338" s="15">
        <v>285</v>
      </c>
      <c r="E2338" s="11">
        <v>3000</v>
      </c>
      <c r="F2338" s="3" t="s">
        <v>8</v>
      </c>
      <c r="G2338" s="46">
        <v>8</v>
      </c>
      <c r="H2338" s="3">
        <v>9</v>
      </c>
      <c r="I2338" s="46">
        <v>0</v>
      </c>
      <c r="J2338" s="55">
        <v>0</v>
      </c>
      <c r="K2338" s="1">
        <f t="shared" ref="K2338" si="3307">(IF(F2338="SELL",G2338-H2338,IF(F2338="BUY",H2338-G2338)))*E2338</f>
        <v>3000</v>
      </c>
      <c r="L2338" s="51">
        <v>0</v>
      </c>
      <c r="M2338" s="52">
        <v>0</v>
      </c>
      <c r="N2338" s="2">
        <f t="shared" si="3285"/>
        <v>1</v>
      </c>
      <c r="O2338" s="2">
        <f t="shared" si="3306"/>
        <v>3000</v>
      </c>
      <c r="P2338" s="13"/>
      <c r="Q2338" s="13"/>
      <c r="R2338" s="13"/>
      <c r="S2338" s="13"/>
      <c r="T2338" s="13"/>
      <c r="U2338" s="13"/>
      <c r="V2338" s="13"/>
      <c r="W2338" s="13"/>
      <c r="X2338" s="13"/>
      <c r="Y2338" s="13"/>
      <c r="Z2338" s="13"/>
      <c r="AA2338" s="13"/>
      <c r="AB2338" s="13"/>
      <c r="AC2338" s="13"/>
      <c r="AD2338" s="13"/>
      <c r="AE2338" s="13"/>
      <c r="AF2338" s="13"/>
      <c r="AG2338" s="13"/>
    </row>
    <row r="2339" spans="1:33" s="14" customFormat="1" ht="15" customHeight="1">
      <c r="A2339" s="10">
        <v>42957</v>
      </c>
      <c r="B2339" s="3" t="s">
        <v>161</v>
      </c>
      <c r="C2339" s="15" t="s">
        <v>47</v>
      </c>
      <c r="D2339" s="15">
        <v>390</v>
      </c>
      <c r="E2339" s="11">
        <v>1500</v>
      </c>
      <c r="F2339" s="3" t="s">
        <v>8</v>
      </c>
      <c r="G2339" s="46">
        <v>14.25</v>
      </c>
      <c r="H2339" s="3">
        <v>12</v>
      </c>
      <c r="I2339" s="46">
        <v>0</v>
      </c>
      <c r="J2339" s="55">
        <v>0</v>
      </c>
      <c r="K2339" s="1">
        <f t="shared" ref="K2339" si="3308">(IF(F2339="SELL",G2339-H2339,IF(F2339="BUY",H2339-G2339)))*E2339</f>
        <v>-3375</v>
      </c>
      <c r="L2339" s="51">
        <v>0</v>
      </c>
      <c r="M2339" s="52">
        <v>0</v>
      </c>
      <c r="N2339" s="2">
        <f t="shared" si="3285"/>
        <v>-2.25</v>
      </c>
      <c r="O2339" s="2">
        <f t="shared" si="3306"/>
        <v>-3375</v>
      </c>
      <c r="P2339" s="13"/>
      <c r="Q2339" s="13"/>
      <c r="R2339" s="13"/>
      <c r="S2339" s="13"/>
      <c r="T2339" s="13"/>
      <c r="U2339" s="13"/>
      <c r="V2339" s="13"/>
      <c r="W2339" s="13"/>
      <c r="X2339" s="13"/>
      <c r="Y2339" s="13"/>
      <c r="Z2339" s="13"/>
      <c r="AA2339" s="13"/>
      <c r="AB2339" s="13"/>
      <c r="AC2339" s="13"/>
      <c r="AD2339" s="13"/>
      <c r="AE2339" s="13"/>
      <c r="AF2339" s="13"/>
      <c r="AG2339" s="13"/>
    </row>
    <row r="2340" spans="1:33" s="14" customFormat="1" ht="15" customHeight="1">
      <c r="A2340" s="10">
        <v>42957</v>
      </c>
      <c r="B2340" s="3" t="s">
        <v>160</v>
      </c>
      <c r="C2340" s="15" t="s">
        <v>46</v>
      </c>
      <c r="D2340" s="15">
        <v>530</v>
      </c>
      <c r="E2340" s="11">
        <v>1300</v>
      </c>
      <c r="F2340" s="3" t="s">
        <v>8</v>
      </c>
      <c r="G2340" s="46">
        <v>13.25</v>
      </c>
      <c r="H2340" s="3">
        <v>14.25</v>
      </c>
      <c r="I2340" s="46">
        <v>16</v>
      </c>
      <c r="J2340" s="55">
        <v>0</v>
      </c>
      <c r="K2340" s="1">
        <f t="shared" ref="K2340" si="3309">(IF(F2340="SELL",G2340-H2340,IF(F2340="BUY",H2340-G2340)))*E2340</f>
        <v>1300</v>
      </c>
      <c r="L2340" s="51">
        <f>(IF(F2340="SELL",IF(I2340="",0,H2340-I2340),IF(F2340="BUY",IF(I2340="",0,I2340-H2340))))*E2340</f>
        <v>2275</v>
      </c>
      <c r="M2340" s="52">
        <v>0</v>
      </c>
      <c r="N2340" s="2">
        <f t="shared" si="3285"/>
        <v>2.75</v>
      </c>
      <c r="O2340" s="2">
        <f t="shared" si="3306"/>
        <v>3575</v>
      </c>
      <c r="P2340" s="13"/>
      <c r="Q2340" s="13"/>
      <c r="R2340" s="13"/>
      <c r="S2340" s="13"/>
      <c r="T2340" s="13"/>
      <c r="U2340" s="13"/>
      <c r="V2340" s="13"/>
      <c r="W2340" s="13"/>
      <c r="X2340" s="13"/>
      <c r="Y2340" s="13"/>
      <c r="Z2340" s="13"/>
      <c r="AA2340" s="13"/>
      <c r="AB2340" s="13"/>
      <c r="AC2340" s="13"/>
      <c r="AD2340" s="13"/>
      <c r="AE2340" s="13"/>
      <c r="AF2340" s="13"/>
      <c r="AG2340" s="13"/>
    </row>
    <row r="2341" spans="1:33" s="14" customFormat="1" ht="15" customHeight="1">
      <c r="A2341" s="10">
        <v>42957</v>
      </c>
      <c r="B2341" s="3" t="s">
        <v>159</v>
      </c>
      <c r="C2341" s="15" t="s">
        <v>46</v>
      </c>
      <c r="D2341" s="15">
        <v>2500</v>
      </c>
      <c r="E2341" s="11">
        <v>250</v>
      </c>
      <c r="F2341" s="3" t="s">
        <v>8</v>
      </c>
      <c r="G2341" s="46">
        <v>83</v>
      </c>
      <c r="H2341" s="3">
        <v>90</v>
      </c>
      <c r="I2341" s="46">
        <v>0</v>
      </c>
      <c r="J2341" s="55">
        <v>0</v>
      </c>
      <c r="K2341" s="1">
        <f t="shared" ref="K2341" si="3310">(IF(F2341="SELL",G2341-H2341,IF(F2341="BUY",H2341-G2341)))*E2341</f>
        <v>1750</v>
      </c>
      <c r="L2341" s="51">
        <v>0</v>
      </c>
      <c r="M2341" s="52">
        <v>0</v>
      </c>
      <c r="N2341" s="2">
        <f t="shared" si="3285"/>
        <v>7</v>
      </c>
      <c r="O2341" s="2">
        <f t="shared" si="3306"/>
        <v>1750</v>
      </c>
      <c r="P2341" s="13"/>
      <c r="Q2341" s="13"/>
      <c r="R2341" s="13"/>
      <c r="S2341" s="13"/>
      <c r="T2341" s="13"/>
      <c r="U2341" s="13"/>
      <c r="V2341" s="13"/>
      <c r="W2341" s="13"/>
      <c r="X2341" s="13"/>
      <c r="Y2341" s="13"/>
      <c r="Z2341" s="13"/>
      <c r="AA2341" s="13"/>
      <c r="AB2341" s="13"/>
      <c r="AC2341" s="13"/>
      <c r="AD2341" s="13"/>
      <c r="AE2341" s="13"/>
      <c r="AF2341" s="13"/>
      <c r="AG2341" s="13"/>
    </row>
    <row r="2342" spans="1:33" s="14" customFormat="1" ht="15" customHeight="1">
      <c r="A2342" s="10">
        <v>42957</v>
      </c>
      <c r="B2342" s="3" t="s">
        <v>154</v>
      </c>
      <c r="C2342" s="15" t="s">
        <v>46</v>
      </c>
      <c r="D2342" s="15">
        <v>7800</v>
      </c>
      <c r="E2342" s="11">
        <v>1500</v>
      </c>
      <c r="F2342" s="3" t="s">
        <v>8</v>
      </c>
      <c r="G2342" s="46">
        <v>20</v>
      </c>
      <c r="H2342" s="3">
        <v>21</v>
      </c>
      <c r="I2342" s="46">
        <v>0</v>
      </c>
      <c r="J2342" s="55">
        <v>0</v>
      </c>
      <c r="K2342" s="1">
        <f t="shared" ref="K2342" si="3311">(IF(F2342="SELL",G2342-H2342,IF(F2342="BUY",H2342-G2342)))*E2342</f>
        <v>1500</v>
      </c>
      <c r="L2342" s="51">
        <v>0</v>
      </c>
      <c r="M2342" s="52">
        <v>0</v>
      </c>
      <c r="N2342" s="2">
        <f t="shared" si="3285"/>
        <v>1</v>
      </c>
      <c r="O2342" s="2">
        <f t="shared" si="3306"/>
        <v>1500</v>
      </c>
      <c r="P2342" s="13"/>
      <c r="Q2342" s="13"/>
      <c r="R2342" s="13"/>
      <c r="S2342" s="13"/>
      <c r="T2342" s="13"/>
      <c r="U2342" s="13"/>
      <c r="V2342" s="13"/>
      <c r="W2342" s="13"/>
      <c r="X2342" s="13"/>
      <c r="Y2342" s="13"/>
      <c r="Z2342" s="13"/>
      <c r="AA2342" s="13"/>
      <c r="AB2342" s="13"/>
      <c r="AC2342" s="13"/>
      <c r="AD2342" s="13"/>
      <c r="AE2342" s="13"/>
      <c r="AF2342" s="13"/>
      <c r="AG2342" s="13"/>
    </row>
    <row r="2343" spans="1:33" s="14" customFormat="1" ht="15" customHeight="1">
      <c r="A2343" s="10">
        <v>42956</v>
      </c>
      <c r="B2343" s="3" t="s">
        <v>158</v>
      </c>
      <c r="C2343" s="15" t="s">
        <v>47</v>
      </c>
      <c r="D2343" s="15">
        <v>490</v>
      </c>
      <c r="E2343" s="11">
        <v>75</v>
      </c>
      <c r="F2343" s="3" t="s">
        <v>8</v>
      </c>
      <c r="G2343" s="46">
        <v>110</v>
      </c>
      <c r="H2343" s="3">
        <v>90</v>
      </c>
      <c r="I2343" s="46">
        <v>0</v>
      </c>
      <c r="J2343" s="55">
        <v>0</v>
      </c>
      <c r="K2343" s="1">
        <f t="shared" ref="K2343" si="3312">(IF(F2343="SELL",G2343-H2343,IF(F2343="BUY",H2343-G2343)))*E2343</f>
        <v>-1500</v>
      </c>
      <c r="L2343" s="51">
        <v>0</v>
      </c>
      <c r="M2343" s="52">
        <v>0</v>
      </c>
      <c r="N2343" s="2">
        <f t="shared" si="3285"/>
        <v>-20</v>
      </c>
      <c r="O2343" s="2">
        <f t="shared" si="3306"/>
        <v>-1500</v>
      </c>
      <c r="P2343" s="13"/>
      <c r="Q2343" s="13"/>
      <c r="R2343" s="13"/>
      <c r="S2343" s="13"/>
      <c r="T2343" s="13"/>
      <c r="U2343" s="13"/>
      <c r="V2343" s="13"/>
      <c r="W2343" s="13"/>
      <c r="X2343" s="13"/>
      <c r="Y2343" s="13"/>
      <c r="Z2343" s="13"/>
      <c r="AA2343" s="13"/>
      <c r="AB2343" s="13"/>
      <c r="AC2343" s="13"/>
      <c r="AD2343" s="13"/>
      <c r="AE2343" s="13"/>
      <c r="AF2343" s="13"/>
      <c r="AG2343" s="13"/>
    </row>
    <row r="2344" spans="1:33" s="14" customFormat="1" ht="15" customHeight="1">
      <c r="A2344" s="10">
        <v>42956</v>
      </c>
      <c r="B2344" s="3" t="s">
        <v>157</v>
      </c>
      <c r="C2344" s="15" t="s">
        <v>47</v>
      </c>
      <c r="D2344" s="15">
        <v>620</v>
      </c>
      <c r="E2344" s="11">
        <v>1500</v>
      </c>
      <c r="F2344" s="3" t="s">
        <v>8</v>
      </c>
      <c r="G2344" s="46">
        <v>21.5</v>
      </c>
      <c r="H2344" s="3">
        <v>22.5</v>
      </c>
      <c r="I2344" s="46">
        <v>0</v>
      </c>
      <c r="J2344" s="55">
        <v>0</v>
      </c>
      <c r="K2344" s="1">
        <f t="shared" ref="K2344" si="3313">(IF(F2344="SELL",G2344-H2344,IF(F2344="BUY",H2344-G2344)))*E2344</f>
        <v>1500</v>
      </c>
      <c r="L2344" s="51">
        <v>0</v>
      </c>
      <c r="M2344" s="52">
        <v>0</v>
      </c>
      <c r="N2344" s="2">
        <f t="shared" si="3285"/>
        <v>1</v>
      </c>
      <c r="O2344" s="2">
        <f t="shared" si="3306"/>
        <v>1500</v>
      </c>
      <c r="P2344" s="13"/>
      <c r="Q2344" s="13"/>
      <c r="R2344" s="13"/>
      <c r="S2344" s="13"/>
      <c r="T2344" s="13"/>
      <c r="U2344" s="13"/>
      <c r="V2344" s="13"/>
      <c r="W2344" s="13"/>
      <c r="X2344" s="13"/>
      <c r="Y2344" s="13"/>
      <c r="Z2344" s="13"/>
      <c r="AA2344" s="13"/>
      <c r="AB2344" s="13"/>
      <c r="AC2344" s="13"/>
      <c r="AD2344" s="13"/>
      <c r="AE2344" s="13"/>
      <c r="AF2344" s="13"/>
      <c r="AG2344" s="13"/>
    </row>
    <row r="2345" spans="1:33" s="14" customFormat="1" ht="15" customHeight="1">
      <c r="A2345" s="10">
        <v>42956</v>
      </c>
      <c r="B2345" s="3" t="s">
        <v>156</v>
      </c>
      <c r="C2345" s="15" t="s">
        <v>47</v>
      </c>
      <c r="D2345" s="15">
        <v>500</v>
      </c>
      <c r="E2345" s="11">
        <v>2000</v>
      </c>
      <c r="F2345" s="3" t="s">
        <v>8</v>
      </c>
      <c r="G2345" s="46">
        <v>14.15</v>
      </c>
      <c r="H2345" s="3">
        <v>14.65</v>
      </c>
      <c r="I2345" s="46">
        <v>16</v>
      </c>
      <c r="J2345" s="55">
        <v>0</v>
      </c>
      <c r="K2345" s="1">
        <f t="shared" ref="K2345" si="3314">(IF(F2345="SELL",G2345-H2345,IF(F2345="BUY",H2345-G2345)))*E2345</f>
        <v>1000</v>
      </c>
      <c r="L2345" s="51">
        <f t="shared" ref="L2345:L2347" si="3315">(IF(F2345="SELL",IF(I2345="",0,H2345-I2345),IF(F2345="BUY",IF(I2345="",0,I2345-H2345))))*E2345</f>
        <v>2699.9999999999991</v>
      </c>
      <c r="M2345" s="52">
        <v>0</v>
      </c>
      <c r="N2345" s="2">
        <f t="shared" si="3285"/>
        <v>1.8499999999999996</v>
      </c>
      <c r="O2345" s="2">
        <f t="shared" si="3306"/>
        <v>3699.9999999999991</v>
      </c>
      <c r="P2345" s="13"/>
      <c r="Q2345" s="13"/>
      <c r="R2345" s="13"/>
      <c r="S2345" s="13"/>
      <c r="T2345" s="13"/>
      <c r="U2345" s="13"/>
      <c r="V2345" s="13"/>
      <c r="W2345" s="13"/>
      <c r="X2345" s="13"/>
      <c r="Y2345" s="13"/>
      <c r="Z2345" s="13"/>
      <c r="AA2345" s="13"/>
      <c r="AB2345" s="13"/>
      <c r="AC2345" s="13"/>
      <c r="AD2345" s="13"/>
      <c r="AE2345" s="13"/>
      <c r="AF2345" s="13"/>
      <c r="AG2345" s="13"/>
    </row>
    <row r="2346" spans="1:33" s="14" customFormat="1" ht="15" customHeight="1">
      <c r="A2346" s="10">
        <v>42956</v>
      </c>
      <c r="B2346" s="3" t="s">
        <v>155</v>
      </c>
      <c r="C2346" s="15" t="s">
        <v>47</v>
      </c>
      <c r="D2346" s="15">
        <v>960</v>
      </c>
      <c r="E2346" s="11">
        <v>400</v>
      </c>
      <c r="F2346" s="3" t="s">
        <v>8</v>
      </c>
      <c r="G2346" s="46">
        <v>28</v>
      </c>
      <c r="H2346" s="3">
        <v>31</v>
      </c>
      <c r="I2346" s="46">
        <v>34.5</v>
      </c>
      <c r="J2346" s="55">
        <v>0</v>
      </c>
      <c r="K2346" s="1">
        <f t="shared" ref="K2346" si="3316">(IF(F2346="SELL",G2346-H2346,IF(F2346="BUY",H2346-G2346)))*E2346</f>
        <v>1200</v>
      </c>
      <c r="L2346" s="51">
        <f t="shared" si="3315"/>
        <v>1400</v>
      </c>
      <c r="M2346" s="52">
        <v>0</v>
      </c>
      <c r="N2346" s="2">
        <f t="shared" si="3285"/>
        <v>6.5</v>
      </c>
      <c r="O2346" s="2">
        <f t="shared" si="3306"/>
        <v>2600</v>
      </c>
      <c r="P2346" s="13"/>
      <c r="Q2346" s="13"/>
      <c r="R2346" s="13"/>
      <c r="S2346" s="13"/>
      <c r="T2346" s="13"/>
      <c r="U2346" s="13"/>
      <c r="V2346" s="13"/>
      <c r="W2346" s="13"/>
      <c r="X2346" s="13"/>
      <c r="Y2346" s="13"/>
      <c r="Z2346" s="13"/>
      <c r="AA2346" s="13"/>
      <c r="AB2346" s="13"/>
      <c r="AC2346" s="13"/>
      <c r="AD2346" s="13"/>
      <c r="AE2346" s="13"/>
      <c r="AF2346" s="13"/>
      <c r="AG2346" s="13"/>
    </row>
    <row r="2347" spans="1:33" s="14" customFormat="1" ht="15" customHeight="1">
      <c r="A2347" s="10">
        <v>42955</v>
      </c>
      <c r="B2347" s="3" t="s">
        <v>139</v>
      </c>
      <c r="C2347" s="15" t="s">
        <v>47</v>
      </c>
      <c r="D2347" s="15">
        <v>1320</v>
      </c>
      <c r="E2347" s="11">
        <v>500</v>
      </c>
      <c r="F2347" s="3" t="s">
        <v>8</v>
      </c>
      <c r="G2347" s="46">
        <v>48</v>
      </c>
      <c r="H2347" s="3">
        <v>55</v>
      </c>
      <c r="I2347" s="46">
        <v>70</v>
      </c>
      <c r="J2347" s="55">
        <v>0</v>
      </c>
      <c r="K2347" s="1">
        <f t="shared" ref="K2347" si="3317">(IF(F2347="SELL",G2347-H2347,IF(F2347="BUY",H2347-G2347)))*E2347</f>
        <v>3500</v>
      </c>
      <c r="L2347" s="51">
        <f t="shared" si="3315"/>
        <v>7500</v>
      </c>
      <c r="M2347" s="52">
        <v>0</v>
      </c>
      <c r="N2347" s="2">
        <f t="shared" si="3285"/>
        <v>22</v>
      </c>
      <c r="O2347" s="2">
        <f t="shared" si="3306"/>
        <v>11000</v>
      </c>
      <c r="P2347" s="13"/>
      <c r="Q2347" s="13"/>
      <c r="R2347" s="13"/>
      <c r="S2347" s="13"/>
      <c r="T2347" s="13"/>
      <c r="U2347" s="13"/>
      <c r="V2347" s="13"/>
      <c r="W2347" s="13"/>
      <c r="X2347" s="13"/>
      <c r="Y2347" s="13"/>
      <c r="Z2347" s="13"/>
      <c r="AA2347" s="13"/>
      <c r="AB2347" s="13"/>
      <c r="AC2347" s="13"/>
      <c r="AD2347" s="13"/>
      <c r="AE2347" s="13"/>
      <c r="AF2347" s="13"/>
      <c r="AG2347" s="13"/>
    </row>
    <row r="2348" spans="1:33" s="14" customFormat="1" ht="15" customHeight="1">
      <c r="A2348" s="10">
        <v>42955</v>
      </c>
      <c r="B2348" s="3" t="s">
        <v>60</v>
      </c>
      <c r="C2348" s="15" t="s">
        <v>47</v>
      </c>
      <c r="D2348" s="15">
        <v>300</v>
      </c>
      <c r="E2348" s="11">
        <v>3500</v>
      </c>
      <c r="F2348" s="3" t="s">
        <v>8</v>
      </c>
      <c r="G2348" s="46">
        <v>10.15</v>
      </c>
      <c r="H2348" s="3">
        <v>8.5</v>
      </c>
      <c r="I2348" s="46">
        <v>0</v>
      </c>
      <c r="J2348" s="55">
        <v>0</v>
      </c>
      <c r="K2348" s="1">
        <f t="shared" ref="K2348" si="3318">(IF(F2348="SELL",G2348-H2348,IF(F2348="BUY",H2348-G2348)))*E2348</f>
        <v>-5775.0000000000009</v>
      </c>
      <c r="L2348" s="51">
        <v>0</v>
      </c>
      <c r="M2348" s="52">
        <f>(IF(F2348="SELL",IF(J2348="",0,I2348-J2348),IF(F2348="BUY",IF(J2348="",0,(J2348-I2348)))))*E2348</f>
        <v>0</v>
      </c>
      <c r="N2348" s="2">
        <f t="shared" si="3285"/>
        <v>-1.6500000000000004</v>
      </c>
      <c r="O2348" s="2">
        <f t="shared" si="3306"/>
        <v>-5775.0000000000009</v>
      </c>
      <c r="P2348" s="13"/>
      <c r="Q2348" s="13"/>
      <c r="R2348" s="13"/>
      <c r="S2348" s="13"/>
      <c r="T2348" s="13"/>
      <c r="U2348" s="13"/>
      <c r="V2348" s="13"/>
      <c r="W2348" s="13"/>
      <c r="X2348" s="13"/>
      <c r="Y2348" s="13"/>
      <c r="Z2348" s="13"/>
      <c r="AA2348" s="13"/>
      <c r="AB2348" s="13"/>
      <c r="AC2348" s="13"/>
      <c r="AD2348" s="13"/>
      <c r="AE2348" s="13"/>
      <c r="AF2348" s="13"/>
      <c r="AG2348" s="13"/>
    </row>
    <row r="2349" spans="1:33" s="14" customFormat="1" ht="15" customHeight="1">
      <c r="A2349" s="10">
        <v>42955</v>
      </c>
      <c r="B2349" s="3" t="s">
        <v>154</v>
      </c>
      <c r="C2349" s="15" t="s">
        <v>46</v>
      </c>
      <c r="D2349" s="15">
        <v>500</v>
      </c>
      <c r="E2349" s="11">
        <v>1800</v>
      </c>
      <c r="F2349" s="3" t="s">
        <v>8</v>
      </c>
      <c r="G2349" s="46">
        <v>11</v>
      </c>
      <c r="H2349" s="3">
        <v>12</v>
      </c>
      <c r="I2349" s="46">
        <v>15</v>
      </c>
      <c r="J2349" s="55">
        <v>0</v>
      </c>
      <c r="K2349" s="1">
        <f t="shared" ref="K2349" si="3319">(IF(F2349="SELL",G2349-H2349,IF(F2349="BUY",H2349-G2349)))*E2349</f>
        <v>1800</v>
      </c>
      <c r="L2349" s="51">
        <f>(IF(F2349="SELL",IF(I2349="",0,H2349-I2349),IF(F2349="BUY",IF(I2349="",0,I2349-H2349))))*E2349</f>
        <v>5400</v>
      </c>
      <c r="M2349" s="52">
        <v>0</v>
      </c>
      <c r="N2349" s="2">
        <f t="shared" si="3285"/>
        <v>4</v>
      </c>
      <c r="O2349" s="2">
        <f t="shared" si="3306"/>
        <v>7200</v>
      </c>
      <c r="P2349" s="13"/>
      <c r="Q2349" s="13"/>
      <c r="R2349" s="13"/>
      <c r="S2349" s="13"/>
      <c r="T2349" s="13"/>
      <c r="U2349" s="13"/>
      <c r="V2349" s="13"/>
      <c r="W2349" s="13"/>
      <c r="X2349" s="13"/>
      <c r="Y2349" s="13"/>
      <c r="Z2349" s="13"/>
      <c r="AA2349" s="13"/>
      <c r="AB2349" s="13"/>
      <c r="AC2349" s="13"/>
      <c r="AD2349" s="13"/>
      <c r="AE2349" s="13"/>
      <c r="AF2349" s="13"/>
      <c r="AG2349" s="13"/>
    </row>
    <row r="2350" spans="1:33" s="14" customFormat="1" ht="15" customHeight="1">
      <c r="A2350" s="10">
        <v>42955</v>
      </c>
      <c r="B2350" s="3" t="s">
        <v>153</v>
      </c>
      <c r="C2350" s="15" t="s">
        <v>47</v>
      </c>
      <c r="D2350" s="15">
        <v>640</v>
      </c>
      <c r="E2350" s="11">
        <v>1200</v>
      </c>
      <c r="F2350" s="3" t="s">
        <v>8</v>
      </c>
      <c r="G2350" s="46">
        <v>21</v>
      </c>
      <c r="H2350" s="3">
        <v>22</v>
      </c>
      <c r="I2350" s="46">
        <v>24</v>
      </c>
      <c r="J2350" s="55">
        <v>26</v>
      </c>
      <c r="K2350" s="1">
        <f t="shared" ref="K2350" si="3320">(IF(F2350="SELL",G2350-H2350,IF(F2350="BUY",H2350-G2350)))*E2350</f>
        <v>1200</v>
      </c>
      <c r="L2350" s="51">
        <f>(IF(F2350="SELL",IF(I2350="",0,H2350-I2350),IF(F2350="BUY",IF(I2350="",0,I2350-H2350))))*E2350</f>
        <v>2400</v>
      </c>
      <c r="M2350" s="52">
        <f>(IF(F2350="SELL",IF(J2350="",0,I2350-J2350),IF(F2350="BUY",IF(J2350="",0,(J2350-I2350)))))*E2350</f>
        <v>2400</v>
      </c>
      <c r="N2350" s="2">
        <f t="shared" si="3285"/>
        <v>5</v>
      </c>
      <c r="O2350" s="2">
        <f t="shared" si="3306"/>
        <v>6000</v>
      </c>
      <c r="P2350" s="13"/>
      <c r="Q2350" s="13"/>
      <c r="R2350" s="13"/>
      <c r="S2350" s="13"/>
      <c r="T2350" s="13"/>
      <c r="U2350" s="13"/>
      <c r="V2350" s="13"/>
      <c r="W2350" s="13"/>
      <c r="X2350" s="13"/>
      <c r="Y2350" s="13"/>
      <c r="Z2350" s="13"/>
      <c r="AA2350" s="13"/>
      <c r="AB2350" s="13"/>
      <c r="AC2350" s="13"/>
      <c r="AD2350" s="13"/>
      <c r="AE2350" s="13"/>
      <c r="AF2350" s="13"/>
      <c r="AG2350" s="13"/>
    </row>
    <row r="2351" spans="1:33" s="14" customFormat="1" ht="15" customHeight="1">
      <c r="A2351" s="10">
        <v>42955</v>
      </c>
      <c r="B2351" s="3" t="s">
        <v>136</v>
      </c>
      <c r="C2351" s="15" t="s">
        <v>46</v>
      </c>
      <c r="D2351" s="15">
        <v>280</v>
      </c>
      <c r="E2351" s="11">
        <v>2400</v>
      </c>
      <c r="F2351" s="3" t="s">
        <v>8</v>
      </c>
      <c r="G2351" s="46">
        <v>6.5</v>
      </c>
      <c r="H2351" s="3">
        <v>7</v>
      </c>
      <c r="I2351" s="46">
        <v>8</v>
      </c>
      <c r="J2351" s="55">
        <v>9.5</v>
      </c>
      <c r="K2351" s="1">
        <f t="shared" ref="K2351" si="3321">(IF(F2351="SELL",G2351-H2351,IF(F2351="BUY",H2351-G2351)))*E2351</f>
        <v>1200</v>
      </c>
      <c r="L2351" s="51">
        <f>(IF(F2351="SELL",IF(I2351="",0,H2351-I2351),IF(F2351="BUY",IF(I2351="",0,I2351-H2351))))*E2351</f>
        <v>2400</v>
      </c>
      <c r="M2351" s="52">
        <f>(IF(F2351="SELL",IF(J2351="",0,I2351-J2351),IF(F2351="BUY",IF(J2351="",0,(J2351-I2351)))))*E2351</f>
        <v>3600</v>
      </c>
      <c r="N2351" s="2">
        <f t="shared" si="3285"/>
        <v>3</v>
      </c>
      <c r="O2351" s="2">
        <f t="shared" si="3306"/>
        <v>7200</v>
      </c>
      <c r="P2351" s="13"/>
      <c r="Q2351" s="13"/>
      <c r="R2351" s="13"/>
      <c r="S2351" s="13"/>
      <c r="T2351" s="13"/>
      <c r="U2351" s="13"/>
      <c r="V2351" s="13"/>
      <c r="W2351" s="13"/>
      <c r="X2351" s="13"/>
      <c r="Y2351" s="13"/>
      <c r="Z2351" s="13"/>
      <c r="AA2351" s="13"/>
      <c r="AB2351" s="13"/>
      <c r="AC2351" s="13"/>
      <c r="AD2351" s="13"/>
      <c r="AE2351" s="13"/>
      <c r="AF2351" s="13"/>
      <c r="AG2351" s="13"/>
    </row>
    <row r="2352" spans="1:33" s="14" customFormat="1" ht="15" customHeight="1">
      <c r="A2352" s="10">
        <v>42954</v>
      </c>
      <c r="B2352" s="3" t="s">
        <v>152</v>
      </c>
      <c r="C2352" s="15" t="s">
        <v>47</v>
      </c>
      <c r="D2352" s="15">
        <v>1780</v>
      </c>
      <c r="E2352" s="11">
        <v>500</v>
      </c>
      <c r="F2352" s="3" t="s">
        <v>8</v>
      </c>
      <c r="G2352" s="46">
        <v>38.049999999999997</v>
      </c>
      <c r="H2352" s="3">
        <v>42</v>
      </c>
      <c r="I2352" s="46">
        <v>47</v>
      </c>
      <c r="J2352" s="55">
        <v>55</v>
      </c>
      <c r="K2352" s="1">
        <f t="shared" ref="K2352" si="3322">(IF(F2352="SELL",G2352-H2352,IF(F2352="BUY",H2352-G2352)))*E2352</f>
        <v>1975.0000000000014</v>
      </c>
      <c r="L2352" s="51">
        <f>(IF(F2352="SELL",IF(I2352="",0,H2352-I2352),IF(F2352="BUY",IF(I2352="",0,I2352-H2352))))*E2352</f>
        <v>2500</v>
      </c>
      <c r="M2352" s="52">
        <f>(IF(F2352="SELL",IF(J2352="",0,I2352-J2352),IF(F2352="BUY",IF(J2352="",0,(J2352-I2352)))))*E2352</f>
        <v>4000</v>
      </c>
      <c r="N2352" s="2">
        <f t="shared" si="3285"/>
        <v>16.950000000000003</v>
      </c>
      <c r="O2352" s="2">
        <f t="shared" si="3306"/>
        <v>8475.0000000000018</v>
      </c>
      <c r="P2352" s="13"/>
      <c r="Q2352" s="13"/>
      <c r="R2352" s="13"/>
      <c r="S2352" s="13"/>
      <c r="T2352" s="13"/>
      <c r="U2352" s="13"/>
      <c r="V2352" s="13"/>
      <c r="W2352" s="13"/>
      <c r="X2352" s="13"/>
      <c r="Y2352" s="13"/>
      <c r="Z2352" s="13"/>
      <c r="AA2352" s="13"/>
      <c r="AB2352" s="13"/>
      <c r="AC2352" s="13"/>
      <c r="AD2352" s="13"/>
      <c r="AE2352" s="13"/>
      <c r="AF2352" s="13"/>
      <c r="AG2352" s="13"/>
    </row>
    <row r="2353" spans="1:33" s="14" customFormat="1" ht="15" customHeight="1">
      <c r="A2353" s="10">
        <v>42951</v>
      </c>
      <c r="B2353" s="3" t="s">
        <v>152</v>
      </c>
      <c r="C2353" s="15" t="s">
        <v>47</v>
      </c>
      <c r="D2353" s="15">
        <v>1740</v>
      </c>
      <c r="E2353" s="11">
        <v>500</v>
      </c>
      <c r="F2353" s="3" t="s">
        <v>8</v>
      </c>
      <c r="G2353" s="46">
        <v>44</v>
      </c>
      <c r="H2353" s="3">
        <v>45.5</v>
      </c>
      <c r="I2353" s="46">
        <v>0</v>
      </c>
      <c r="J2353" s="55">
        <v>0</v>
      </c>
      <c r="K2353" s="1">
        <f t="shared" ref="K2353" si="3323">(IF(F2353="SELL",G2353-H2353,IF(F2353="BUY",H2353-G2353)))*E2353</f>
        <v>750</v>
      </c>
      <c r="L2353" s="51">
        <v>0</v>
      </c>
      <c r="M2353" s="52">
        <v>0</v>
      </c>
      <c r="N2353" s="2">
        <f t="shared" si="3285"/>
        <v>1.5</v>
      </c>
      <c r="O2353" s="2">
        <f t="shared" si="3306"/>
        <v>750</v>
      </c>
      <c r="P2353" s="13"/>
      <c r="Q2353" s="13"/>
      <c r="R2353" s="13"/>
      <c r="S2353" s="13"/>
      <c r="T2353" s="13"/>
      <c r="U2353" s="13"/>
      <c r="V2353" s="13"/>
      <c r="W2353" s="13"/>
      <c r="X2353" s="13"/>
      <c r="Y2353" s="13"/>
      <c r="Z2353" s="13"/>
      <c r="AA2353" s="13"/>
      <c r="AB2353" s="13"/>
      <c r="AC2353" s="13"/>
      <c r="AD2353" s="13"/>
      <c r="AE2353" s="13"/>
      <c r="AF2353" s="13"/>
      <c r="AG2353" s="13"/>
    </row>
    <row r="2354" spans="1:33" s="14" customFormat="1" ht="15" customHeight="1">
      <c r="A2354" s="10">
        <v>42950</v>
      </c>
      <c r="B2354" s="3" t="s">
        <v>151</v>
      </c>
      <c r="C2354" s="15" t="s">
        <v>47</v>
      </c>
      <c r="D2354" s="15">
        <v>700</v>
      </c>
      <c r="E2354" s="11">
        <v>1100</v>
      </c>
      <c r="F2354" s="3" t="s">
        <v>8</v>
      </c>
      <c r="G2354" s="46">
        <v>16.5</v>
      </c>
      <c r="H2354" s="3">
        <v>14.5</v>
      </c>
      <c r="I2354" s="46">
        <v>0</v>
      </c>
      <c r="J2354" s="55">
        <v>0</v>
      </c>
      <c r="K2354" s="1">
        <f t="shared" ref="K2354" si="3324">(IF(F2354="SELL",G2354-H2354,IF(F2354="BUY",H2354-G2354)))*E2354</f>
        <v>-2200</v>
      </c>
      <c r="L2354" s="51">
        <v>0</v>
      </c>
      <c r="M2354" s="52">
        <f>(IF(F2354="SELL",IF(J2354="",0,I2354-J2354),IF(F2354="BUY",IF(J2354="",0,(J2354-I2354)))))*E2354</f>
        <v>0</v>
      </c>
      <c r="N2354" s="2">
        <f t="shared" si="3285"/>
        <v>-2</v>
      </c>
      <c r="O2354" s="2">
        <f t="shared" si="3306"/>
        <v>-2200</v>
      </c>
      <c r="P2354" s="13"/>
      <c r="Q2354" s="13"/>
      <c r="R2354" s="13"/>
      <c r="S2354" s="13"/>
      <c r="T2354" s="13"/>
      <c r="U2354" s="13"/>
      <c r="V2354" s="13"/>
      <c r="W2354" s="13"/>
      <c r="X2354" s="13"/>
      <c r="Y2354" s="13"/>
      <c r="Z2354" s="13"/>
      <c r="AA2354" s="13"/>
      <c r="AB2354" s="13"/>
      <c r="AC2354" s="13"/>
      <c r="AD2354" s="13"/>
      <c r="AE2354" s="13"/>
      <c r="AF2354" s="13"/>
      <c r="AG2354" s="13"/>
    </row>
    <row r="2355" spans="1:33" s="14" customFormat="1" ht="15" customHeight="1">
      <c r="A2355" s="10">
        <v>42950</v>
      </c>
      <c r="B2355" s="3" t="s">
        <v>134</v>
      </c>
      <c r="C2355" s="15" t="s">
        <v>47</v>
      </c>
      <c r="D2355" s="15">
        <v>1640</v>
      </c>
      <c r="E2355" s="11">
        <v>500</v>
      </c>
      <c r="F2355" s="3" t="s">
        <v>8</v>
      </c>
      <c r="G2355" s="46">
        <v>37.5</v>
      </c>
      <c r="H2355" s="3">
        <v>40.5</v>
      </c>
      <c r="I2355" s="46">
        <v>44</v>
      </c>
      <c r="J2355" s="55">
        <v>50</v>
      </c>
      <c r="K2355" s="1">
        <f t="shared" ref="K2355" si="3325">(IF(F2355="SELL",G2355-H2355,IF(F2355="BUY",H2355-G2355)))*E2355</f>
        <v>1500</v>
      </c>
      <c r="L2355" s="51">
        <f>(IF(F2355="SELL",IF(I2355="",0,H2355-I2355),IF(F2355="BUY",IF(I2355="",0,I2355-H2355))))*E2355</f>
        <v>1750</v>
      </c>
      <c r="M2355" s="52">
        <f>(IF(F2355="SELL",IF(J2355="",0,I2355-J2355),IF(F2355="BUY",IF(J2355="",0,(J2355-I2355)))))*E2355</f>
        <v>3000</v>
      </c>
      <c r="N2355" s="2">
        <f t="shared" si="3285"/>
        <v>12.5</v>
      </c>
      <c r="O2355" s="2">
        <f t="shared" si="3306"/>
        <v>6250</v>
      </c>
      <c r="P2355" s="13"/>
      <c r="Q2355" s="13"/>
      <c r="R2355" s="13"/>
      <c r="S2355" s="13"/>
      <c r="T2355" s="13"/>
      <c r="U2355" s="13"/>
      <c r="V2355" s="13"/>
      <c r="W2355" s="13"/>
      <c r="X2355" s="13"/>
      <c r="Y2355" s="13"/>
      <c r="Z2355" s="13"/>
      <c r="AA2355" s="13"/>
      <c r="AB2355" s="13"/>
      <c r="AC2355" s="13"/>
      <c r="AD2355" s="13"/>
      <c r="AE2355" s="13"/>
      <c r="AF2355" s="13"/>
      <c r="AG2355" s="13"/>
    </row>
    <row r="2356" spans="1:33" s="14" customFormat="1" ht="15" customHeight="1">
      <c r="A2356" s="10">
        <v>42949</v>
      </c>
      <c r="B2356" s="3" t="s">
        <v>150</v>
      </c>
      <c r="C2356" s="15" t="s">
        <v>47</v>
      </c>
      <c r="D2356" s="15">
        <v>370</v>
      </c>
      <c r="E2356" s="11">
        <v>3084</v>
      </c>
      <c r="F2356" s="3" t="s">
        <v>8</v>
      </c>
      <c r="G2356" s="46">
        <v>10.5</v>
      </c>
      <c r="H2356" s="3">
        <v>10.95</v>
      </c>
      <c r="I2356" s="46">
        <v>0</v>
      </c>
      <c r="J2356" s="55">
        <v>0</v>
      </c>
      <c r="K2356" s="1">
        <f t="shared" ref="K2356" si="3326">(IF(F2356="SELL",G2356-H2356,IF(F2356="BUY",H2356-G2356)))*E2356</f>
        <v>1387.7999999999979</v>
      </c>
      <c r="L2356" s="51">
        <v>0</v>
      </c>
      <c r="M2356" s="52">
        <f>(IF(F2356="SELL",IF(J2356="",0,I2356-J2356),IF(F2356="BUY",IF(J2356="",0,(J2356-I2356)))))*E2356</f>
        <v>0</v>
      </c>
      <c r="N2356" s="2">
        <f t="shared" si="3285"/>
        <v>0.44999999999999934</v>
      </c>
      <c r="O2356" s="2">
        <f t="shared" si="3306"/>
        <v>1387.7999999999979</v>
      </c>
      <c r="P2356" s="13"/>
      <c r="Q2356" s="13"/>
      <c r="R2356" s="13"/>
      <c r="S2356" s="13"/>
      <c r="T2356" s="13"/>
      <c r="U2356" s="13"/>
      <c r="V2356" s="13"/>
      <c r="W2356" s="13"/>
      <c r="X2356" s="13"/>
      <c r="Y2356" s="13"/>
      <c r="Z2356" s="13"/>
      <c r="AA2356" s="13"/>
      <c r="AB2356" s="13"/>
      <c r="AC2356" s="13"/>
      <c r="AD2356" s="13"/>
      <c r="AE2356" s="13"/>
      <c r="AF2356" s="13"/>
      <c r="AG2356" s="13"/>
    </row>
    <row r="2357" spans="1:33" s="14" customFormat="1" ht="15" customHeight="1">
      <c r="A2357" s="10">
        <v>42949</v>
      </c>
      <c r="B2357" s="3" t="s">
        <v>149</v>
      </c>
      <c r="C2357" s="15" t="s">
        <v>47</v>
      </c>
      <c r="D2357" s="15">
        <v>260</v>
      </c>
      <c r="E2357" s="11">
        <v>2500</v>
      </c>
      <c r="F2357" s="3" t="s">
        <v>8</v>
      </c>
      <c r="G2357" s="46">
        <v>8.5</v>
      </c>
      <c r="H2357" s="3">
        <v>9</v>
      </c>
      <c r="I2357" s="46">
        <v>10.5</v>
      </c>
      <c r="J2357" s="55">
        <v>0</v>
      </c>
      <c r="K2357" s="1">
        <f t="shared" ref="K2357" si="3327">(IF(F2357="SELL",G2357-H2357,IF(F2357="BUY",H2357-G2357)))*E2357</f>
        <v>1250</v>
      </c>
      <c r="L2357" s="51">
        <f>(IF(F2357="SELL",IF(I2357="",0,H2357-I2357),IF(F2357="BUY",IF(I2357="",0,I2357-H2357))))*E2357</f>
        <v>3750</v>
      </c>
      <c r="M2357" s="52">
        <v>0</v>
      </c>
      <c r="N2357" s="2">
        <f t="shared" si="3285"/>
        <v>2</v>
      </c>
      <c r="O2357" s="2">
        <f t="shared" si="3306"/>
        <v>5000</v>
      </c>
      <c r="P2357" s="13"/>
      <c r="Q2357" s="13"/>
      <c r="R2357" s="13"/>
      <c r="S2357" s="13"/>
      <c r="T2357" s="13"/>
      <c r="U2357" s="13"/>
      <c r="V2357" s="13"/>
      <c r="W2357" s="13"/>
      <c r="X2357" s="13"/>
      <c r="Y2357" s="13"/>
      <c r="Z2357" s="13"/>
      <c r="AA2357" s="13"/>
      <c r="AB2357" s="13"/>
      <c r="AC2357" s="13"/>
      <c r="AD2357" s="13"/>
      <c r="AE2357" s="13"/>
      <c r="AF2357" s="13"/>
      <c r="AG2357" s="13"/>
    </row>
    <row r="2358" spans="1:33" s="14" customFormat="1" ht="15" customHeight="1">
      <c r="A2358" s="10">
        <v>42949</v>
      </c>
      <c r="B2358" s="3" t="s">
        <v>148</v>
      </c>
      <c r="C2358" s="15" t="s">
        <v>47</v>
      </c>
      <c r="D2358" s="15">
        <v>520</v>
      </c>
      <c r="E2358" s="11">
        <v>1200</v>
      </c>
      <c r="F2358" s="3" t="s">
        <v>8</v>
      </c>
      <c r="G2358" s="46">
        <v>16.75</v>
      </c>
      <c r="H2358" s="3">
        <v>17.75</v>
      </c>
      <c r="I2358" s="46">
        <v>0</v>
      </c>
      <c r="J2358" s="55">
        <v>0</v>
      </c>
      <c r="K2358" s="1">
        <f t="shared" ref="K2358" si="3328">(IF(F2358="SELL",G2358-H2358,IF(F2358="BUY",H2358-G2358)))*E2358</f>
        <v>1200</v>
      </c>
      <c r="L2358" s="51">
        <v>0</v>
      </c>
      <c r="M2358" s="52">
        <f>(IF(F2358="SELL",IF(J2358="",0,I2358-J2358),IF(F2358="BUY",IF(J2358="",0,(J2358-I2358)))))*E2358</f>
        <v>0</v>
      </c>
      <c r="N2358" s="2">
        <f t="shared" si="3285"/>
        <v>1</v>
      </c>
      <c r="O2358" s="2">
        <f t="shared" si="3306"/>
        <v>1200</v>
      </c>
      <c r="P2358" s="13"/>
      <c r="Q2358" s="13"/>
      <c r="R2358" s="13"/>
      <c r="S2358" s="13"/>
      <c r="T2358" s="13"/>
      <c r="U2358" s="13"/>
      <c r="V2358" s="13"/>
      <c r="W2358" s="13"/>
      <c r="X2358" s="13"/>
      <c r="Y2358" s="13"/>
      <c r="Z2358" s="13"/>
      <c r="AA2358" s="13"/>
      <c r="AB2358" s="13"/>
      <c r="AC2358" s="13"/>
      <c r="AD2358" s="13"/>
      <c r="AE2358" s="13"/>
      <c r="AF2358" s="13"/>
      <c r="AG2358" s="13"/>
    </row>
    <row r="2359" spans="1:33" s="14" customFormat="1" ht="15" customHeight="1">
      <c r="A2359" s="10">
        <v>42949</v>
      </c>
      <c r="B2359" s="3" t="s">
        <v>147</v>
      </c>
      <c r="C2359" s="15" t="s">
        <v>46</v>
      </c>
      <c r="D2359" s="15">
        <v>150</v>
      </c>
      <c r="E2359" s="11">
        <v>4500</v>
      </c>
      <c r="F2359" s="3" t="s">
        <v>8</v>
      </c>
      <c r="G2359" s="46">
        <v>5.7</v>
      </c>
      <c r="H2359" s="3">
        <v>5.95</v>
      </c>
      <c r="I2359" s="46">
        <v>0</v>
      </c>
      <c r="J2359" s="55">
        <v>0</v>
      </c>
      <c r="K2359" s="1">
        <f t="shared" ref="K2359" si="3329">(IF(F2359="SELL",G2359-H2359,IF(F2359="BUY",H2359-G2359)))*E2359</f>
        <v>1125</v>
      </c>
      <c r="L2359" s="51">
        <v>0</v>
      </c>
      <c r="M2359" s="52">
        <f>(IF(F2359="SELL",IF(J2359="",0,I2359-J2359),IF(F2359="BUY",IF(J2359="",0,(J2359-I2359)))))*E2359</f>
        <v>0</v>
      </c>
      <c r="N2359" s="2">
        <f t="shared" si="3285"/>
        <v>0.25</v>
      </c>
      <c r="O2359" s="2">
        <f t="shared" si="3306"/>
        <v>1125</v>
      </c>
      <c r="P2359" s="13"/>
      <c r="Q2359" s="13"/>
      <c r="R2359" s="13"/>
      <c r="S2359" s="13"/>
      <c r="T2359" s="13"/>
      <c r="U2359" s="13"/>
      <c r="V2359" s="13"/>
      <c r="W2359" s="13"/>
      <c r="X2359" s="13"/>
      <c r="Y2359" s="13"/>
      <c r="Z2359" s="13"/>
      <c r="AA2359" s="13"/>
      <c r="AB2359" s="13"/>
      <c r="AC2359" s="13"/>
      <c r="AD2359" s="13"/>
      <c r="AE2359" s="13"/>
      <c r="AF2359" s="13"/>
      <c r="AG2359" s="13"/>
    </row>
    <row r="2360" spans="1:33" s="14" customFormat="1" ht="15" customHeight="1">
      <c r="A2360" s="10">
        <v>42948</v>
      </c>
      <c r="B2360" s="3" t="s">
        <v>96</v>
      </c>
      <c r="C2360" s="15" t="s">
        <v>47</v>
      </c>
      <c r="D2360" s="15">
        <v>1420</v>
      </c>
      <c r="E2360" s="11">
        <v>500</v>
      </c>
      <c r="F2360" s="3" t="s">
        <v>8</v>
      </c>
      <c r="G2360" s="46">
        <v>43</v>
      </c>
      <c r="H2360" s="3">
        <v>46</v>
      </c>
      <c r="I2360" s="46">
        <v>0</v>
      </c>
      <c r="J2360" s="55">
        <v>0</v>
      </c>
      <c r="K2360" s="1">
        <f t="shared" ref="K2360" si="3330">(IF(F2360="SELL",G2360-H2360,IF(F2360="BUY",H2360-G2360)))*E2360</f>
        <v>1500</v>
      </c>
      <c r="L2360" s="51">
        <v>0</v>
      </c>
      <c r="M2360" s="52">
        <f>(IF(F2360="SELL",IF(J2360="",0,I2360-J2360),IF(F2360="BUY",IF(J2360="",0,(J2360-I2360)))))*E2360</f>
        <v>0</v>
      </c>
      <c r="N2360" s="2">
        <f t="shared" si="3285"/>
        <v>3</v>
      </c>
      <c r="O2360" s="2">
        <f t="shared" si="3306"/>
        <v>1500</v>
      </c>
      <c r="P2360" s="13"/>
      <c r="Q2360" s="13"/>
      <c r="R2360" s="13"/>
      <c r="S2360" s="13"/>
      <c r="T2360" s="13"/>
      <c r="U2360" s="13"/>
      <c r="V2360" s="13"/>
      <c r="W2360" s="13"/>
      <c r="X2360" s="13"/>
      <c r="Y2360" s="13"/>
      <c r="Z2360" s="13"/>
      <c r="AA2360" s="13"/>
      <c r="AB2360" s="13"/>
      <c r="AC2360" s="13"/>
      <c r="AD2360" s="13"/>
      <c r="AE2360" s="13"/>
      <c r="AF2360" s="13"/>
      <c r="AG2360" s="13"/>
    </row>
    <row r="2361" spans="1:33" s="14" customFormat="1" ht="15" customHeight="1">
      <c r="A2361" s="10">
        <v>42944</v>
      </c>
      <c r="B2361" s="3" t="s">
        <v>146</v>
      </c>
      <c r="C2361" s="15" t="s">
        <v>47</v>
      </c>
      <c r="D2361" s="15">
        <v>390</v>
      </c>
      <c r="E2361" s="11">
        <v>2500</v>
      </c>
      <c r="F2361" s="3" t="s">
        <v>8</v>
      </c>
      <c r="G2361" s="46">
        <v>17.5</v>
      </c>
      <c r="H2361" s="3">
        <v>18.100000000000001</v>
      </c>
      <c r="I2361" s="46">
        <v>0</v>
      </c>
      <c r="J2361" s="55">
        <v>0</v>
      </c>
      <c r="K2361" s="1">
        <f t="shared" ref="K2361" si="3331">(IF(F2361="SELL",G2361-H2361,IF(F2361="BUY",H2361-G2361)))*E2361</f>
        <v>1500.0000000000036</v>
      </c>
      <c r="L2361" s="51">
        <v>0</v>
      </c>
      <c r="M2361" s="52">
        <f>(IF(F2361="SELL",IF(J2361="",0,I2361-J2361),IF(F2361="BUY",IF(J2361="",0,(J2361-I2361)))))*E2361</f>
        <v>0</v>
      </c>
      <c r="N2361" s="2">
        <f t="shared" si="3285"/>
        <v>0.60000000000000142</v>
      </c>
      <c r="O2361" s="2">
        <f t="shared" si="3306"/>
        <v>1500.0000000000036</v>
      </c>
      <c r="P2361" s="13"/>
      <c r="Q2361" s="13"/>
      <c r="R2361" s="13"/>
      <c r="S2361" s="13"/>
      <c r="T2361" s="13"/>
      <c r="U2361" s="13"/>
      <c r="V2361" s="13"/>
      <c r="W2361" s="13"/>
      <c r="X2361" s="13"/>
      <c r="Y2361" s="13"/>
      <c r="Z2361" s="13"/>
      <c r="AA2361" s="13"/>
      <c r="AB2361" s="13"/>
      <c r="AC2361" s="13"/>
      <c r="AD2361" s="13"/>
      <c r="AE2361" s="13"/>
      <c r="AF2361" s="13"/>
      <c r="AG2361" s="13"/>
    </row>
    <row r="2362" spans="1:33" s="14" customFormat="1" ht="15" customHeight="1">
      <c r="A2362" s="10">
        <v>42944</v>
      </c>
      <c r="B2362" s="3" t="s">
        <v>145</v>
      </c>
      <c r="C2362" s="15" t="s">
        <v>47</v>
      </c>
      <c r="D2362" s="15">
        <v>450</v>
      </c>
      <c r="E2362" s="11">
        <v>1300</v>
      </c>
      <c r="F2362" s="3" t="s">
        <v>8</v>
      </c>
      <c r="G2362" s="46">
        <v>14</v>
      </c>
      <c r="H2362" s="3">
        <v>15.3</v>
      </c>
      <c r="I2362" s="46">
        <v>17</v>
      </c>
      <c r="J2362" s="55">
        <v>0</v>
      </c>
      <c r="K2362" s="1">
        <f t="shared" ref="K2362" si="3332">(IF(F2362="SELL",G2362-H2362,IF(F2362="BUY",H2362-G2362)))*E2362</f>
        <v>1690.0000000000009</v>
      </c>
      <c r="L2362" s="51">
        <f t="shared" ref="L2362" si="3333">(IF(F2362="SELL",IF(I2362="",0,H2362-I2362),IF(F2362="BUY",IF(I2362="",0,I2362-H2362))))*E2362</f>
        <v>2209.9999999999991</v>
      </c>
      <c r="M2362" s="52">
        <v>0</v>
      </c>
      <c r="N2362" s="2">
        <f t="shared" si="3285"/>
        <v>3</v>
      </c>
      <c r="O2362" s="2">
        <f t="shared" si="3306"/>
        <v>3900</v>
      </c>
      <c r="P2362" s="13"/>
      <c r="Q2362" s="13"/>
      <c r="R2362" s="13"/>
      <c r="S2362" s="13"/>
      <c r="T2362" s="13"/>
      <c r="U2362" s="13"/>
      <c r="V2362" s="13"/>
      <c r="W2362" s="13"/>
      <c r="X2362" s="13"/>
      <c r="Y2362" s="13"/>
      <c r="Z2362" s="13"/>
      <c r="AA2362" s="13"/>
      <c r="AB2362" s="13"/>
      <c r="AC2362" s="13"/>
      <c r="AD2362" s="13"/>
      <c r="AE2362" s="13"/>
      <c r="AF2362" s="13"/>
      <c r="AG2362" s="13"/>
    </row>
    <row r="2363" spans="1:33" s="14" customFormat="1" ht="15" customHeight="1">
      <c r="A2363" s="10">
        <v>42944</v>
      </c>
      <c r="B2363" s="3" t="s">
        <v>114</v>
      </c>
      <c r="C2363" s="15" t="s">
        <v>47</v>
      </c>
      <c r="D2363" s="15">
        <v>1780</v>
      </c>
      <c r="E2363" s="11">
        <v>350</v>
      </c>
      <c r="F2363" s="3" t="s">
        <v>8</v>
      </c>
      <c r="G2363" s="46">
        <v>65</v>
      </c>
      <c r="H2363" s="3">
        <v>69</v>
      </c>
      <c r="I2363" s="46">
        <v>75</v>
      </c>
      <c r="J2363" s="55">
        <v>82</v>
      </c>
      <c r="K2363" s="1">
        <f t="shared" ref="K2363" si="3334">(IF(F2363="SELL",G2363-H2363,IF(F2363="BUY",H2363-G2363)))*E2363</f>
        <v>1400</v>
      </c>
      <c r="L2363" s="51">
        <f t="shared" ref="L2363" si="3335">(IF(F2363="SELL",IF(I2363="",0,H2363-I2363),IF(F2363="BUY",IF(I2363="",0,I2363-H2363))))*E2363</f>
        <v>2100</v>
      </c>
      <c r="M2363" s="52">
        <f t="shared" ref="M2363:M2369" si="3336">(IF(F2363="SELL",IF(J2363="",0,I2363-J2363),IF(F2363="BUY",IF(J2363="",0,(J2363-I2363)))))*E2363</f>
        <v>2450</v>
      </c>
      <c r="N2363" s="2">
        <f t="shared" si="3285"/>
        <v>17</v>
      </c>
      <c r="O2363" s="2">
        <f t="shared" si="3306"/>
        <v>5950</v>
      </c>
      <c r="P2363" s="13"/>
      <c r="Q2363" s="13"/>
      <c r="R2363" s="13"/>
      <c r="S2363" s="13"/>
      <c r="T2363" s="13"/>
      <c r="U2363" s="13"/>
      <c r="V2363" s="13"/>
      <c r="W2363" s="13"/>
      <c r="X2363" s="13"/>
      <c r="Y2363" s="13"/>
      <c r="Z2363" s="13"/>
      <c r="AA2363" s="13"/>
      <c r="AB2363" s="13"/>
      <c r="AC2363" s="13"/>
      <c r="AD2363" s="13"/>
      <c r="AE2363" s="13"/>
      <c r="AF2363" s="13"/>
      <c r="AG2363" s="13"/>
    </row>
    <row r="2364" spans="1:33" s="14" customFormat="1" ht="15" customHeight="1">
      <c r="A2364" s="10">
        <v>42944</v>
      </c>
      <c r="B2364" s="3" t="s">
        <v>72</v>
      </c>
      <c r="C2364" s="15" t="s">
        <v>47</v>
      </c>
      <c r="D2364" s="15">
        <v>470</v>
      </c>
      <c r="E2364" s="11">
        <v>1800</v>
      </c>
      <c r="F2364" s="3" t="s">
        <v>8</v>
      </c>
      <c r="G2364" s="46">
        <v>4</v>
      </c>
      <c r="H2364" s="3">
        <v>6</v>
      </c>
      <c r="I2364" s="46">
        <v>0</v>
      </c>
      <c r="J2364" s="55">
        <v>0</v>
      </c>
      <c r="K2364" s="1">
        <f t="shared" ref="K2364" si="3337">(IF(F2364="SELL",G2364-H2364,IF(F2364="BUY",H2364-G2364)))*E2364</f>
        <v>3600</v>
      </c>
      <c r="L2364" s="51">
        <v>0</v>
      </c>
      <c r="M2364" s="52">
        <f t="shared" si="3336"/>
        <v>0</v>
      </c>
      <c r="N2364" s="2">
        <f t="shared" si="3285"/>
        <v>2</v>
      </c>
      <c r="O2364" s="2">
        <f t="shared" si="3306"/>
        <v>3600</v>
      </c>
      <c r="P2364" s="13"/>
      <c r="Q2364" s="13"/>
      <c r="R2364" s="13"/>
      <c r="S2364" s="13"/>
      <c r="T2364" s="13"/>
      <c r="U2364" s="13"/>
      <c r="V2364" s="13"/>
      <c r="W2364" s="13"/>
      <c r="X2364" s="13"/>
      <c r="Y2364" s="13"/>
      <c r="Z2364" s="13"/>
      <c r="AA2364" s="13"/>
      <c r="AB2364" s="13"/>
      <c r="AC2364" s="13"/>
      <c r="AD2364" s="13"/>
      <c r="AE2364" s="13"/>
      <c r="AF2364" s="13"/>
      <c r="AG2364" s="13"/>
    </row>
    <row r="2365" spans="1:33" s="14" customFormat="1" ht="15" customHeight="1">
      <c r="A2365" s="10">
        <v>42943</v>
      </c>
      <c r="B2365" s="3" t="s">
        <v>144</v>
      </c>
      <c r="C2365" s="15" t="s">
        <v>46</v>
      </c>
      <c r="D2365" s="15">
        <v>430</v>
      </c>
      <c r="E2365" s="11">
        <v>1700</v>
      </c>
      <c r="F2365" s="3" t="s">
        <v>8</v>
      </c>
      <c r="G2365" s="46">
        <v>8.1999999999999993</v>
      </c>
      <c r="H2365" s="3">
        <v>9.1999999999999993</v>
      </c>
      <c r="I2365" s="46">
        <v>11.2</v>
      </c>
      <c r="J2365" s="55">
        <v>13</v>
      </c>
      <c r="K2365" s="1">
        <f t="shared" ref="K2365" si="3338">(IF(F2365="SELL",G2365-H2365,IF(F2365="BUY",H2365-G2365)))*E2365</f>
        <v>1700</v>
      </c>
      <c r="L2365" s="51">
        <f t="shared" ref="L2365" si="3339">(IF(F2365="SELL",IF(I2365="",0,H2365-I2365),IF(F2365="BUY",IF(I2365="",0,I2365-H2365))))*E2365</f>
        <v>3400</v>
      </c>
      <c r="M2365" s="52">
        <f t="shared" si="3336"/>
        <v>3060.0000000000014</v>
      </c>
      <c r="N2365" s="2">
        <f t="shared" si="3285"/>
        <v>4.8000000000000007</v>
      </c>
      <c r="O2365" s="2">
        <f t="shared" si="3306"/>
        <v>8160.0000000000009</v>
      </c>
      <c r="P2365" s="13"/>
      <c r="Q2365" s="13"/>
      <c r="R2365" s="13"/>
      <c r="S2365" s="13"/>
      <c r="T2365" s="13"/>
      <c r="U2365" s="13"/>
      <c r="V2365" s="13"/>
      <c r="W2365" s="13"/>
      <c r="X2365" s="13"/>
      <c r="Y2365" s="13"/>
      <c r="Z2365" s="13"/>
      <c r="AA2365" s="13"/>
      <c r="AB2365" s="13"/>
      <c r="AC2365" s="13"/>
      <c r="AD2365" s="13"/>
      <c r="AE2365" s="13"/>
      <c r="AF2365" s="13"/>
      <c r="AG2365" s="13"/>
    </row>
    <row r="2366" spans="1:33" s="14" customFormat="1" ht="15" customHeight="1">
      <c r="A2366" s="10">
        <v>42943</v>
      </c>
      <c r="B2366" s="3" t="s">
        <v>143</v>
      </c>
      <c r="C2366" s="15" t="s">
        <v>47</v>
      </c>
      <c r="D2366" s="15">
        <v>1600</v>
      </c>
      <c r="E2366" s="11">
        <v>600</v>
      </c>
      <c r="F2366" s="3" t="s">
        <v>8</v>
      </c>
      <c r="G2366" s="46">
        <v>20</v>
      </c>
      <c r="H2366" s="3">
        <v>22.5</v>
      </c>
      <c r="I2366" s="46">
        <v>0</v>
      </c>
      <c r="J2366" s="55">
        <v>0</v>
      </c>
      <c r="K2366" s="1">
        <f t="shared" ref="K2366" si="3340">(IF(F2366="SELL",G2366-H2366,IF(F2366="BUY",H2366-G2366)))*E2366</f>
        <v>1500</v>
      </c>
      <c r="L2366" s="51">
        <v>0</v>
      </c>
      <c r="M2366" s="52">
        <f t="shared" si="3336"/>
        <v>0</v>
      </c>
      <c r="N2366" s="2">
        <f t="shared" si="3285"/>
        <v>2.5</v>
      </c>
      <c r="O2366" s="2">
        <f t="shared" si="3306"/>
        <v>1500</v>
      </c>
      <c r="P2366" s="13"/>
      <c r="Q2366" s="13"/>
      <c r="R2366" s="13"/>
      <c r="S2366" s="13"/>
      <c r="T2366" s="13"/>
      <c r="U2366" s="13"/>
      <c r="V2366" s="13"/>
      <c r="W2366" s="13"/>
      <c r="X2366" s="13"/>
      <c r="Y2366" s="13"/>
      <c r="Z2366" s="13"/>
      <c r="AA2366" s="13"/>
      <c r="AB2366" s="13"/>
      <c r="AC2366" s="13"/>
      <c r="AD2366" s="13"/>
      <c r="AE2366" s="13"/>
      <c r="AF2366" s="13"/>
      <c r="AG2366" s="13"/>
    </row>
    <row r="2367" spans="1:33" s="14" customFormat="1" ht="15" customHeight="1">
      <c r="A2367" s="10">
        <v>42942</v>
      </c>
      <c r="B2367" s="3" t="s">
        <v>142</v>
      </c>
      <c r="C2367" s="15" t="s">
        <v>47</v>
      </c>
      <c r="D2367" s="15">
        <v>1160</v>
      </c>
      <c r="E2367" s="11">
        <v>750</v>
      </c>
      <c r="F2367" s="3" t="s">
        <v>8</v>
      </c>
      <c r="G2367" s="46">
        <v>14.9</v>
      </c>
      <c r="H2367" s="3">
        <v>17</v>
      </c>
      <c r="I2367" s="46">
        <v>0</v>
      </c>
      <c r="J2367" s="55">
        <v>0</v>
      </c>
      <c r="K2367" s="1">
        <f t="shared" ref="K2367" si="3341">(IF(F2367="SELL",G2367-H2367,IF(F2367="BUY",H2367-G2367)))*E2367</f>
        <v>1574.9999999999998</v>
      </c>
      <c r="L2367" s="51">
        <v>0</v>
      </c>
      <c r="M2367" s="52">
        <f t="shared" si="3336"/>
        <v>0</v>
      </c>
      <c r="N2367" s="2">
        <f t="shared" si="3285"/>
        <v>2.0999999999999996</v>
      </c>
      <c r="O2367" s="2">
        <f t="shared" si="3306"/>
        <v>1574.9999999999998</v>
      </c>
      <c r="P2367" s="13"/>
      <c r="Q2367" s="13"/>
      <c r="R2367" s="13"/>
      <c r="S2367" s="13"/>
      <c r="T2367" s="13"/>
      <c r="U2367" s="13"/>
      <c r="V2367" s="13"/>
      <c r="W2367" s="13"/>
      <c r="X2367" s="13"/>
      <c r="Y2367" s="13"/>
      <c r="Z2367" s="13"/>
      <c r="AA2367" s="13"/>
      <c r="AB2367" s="13"/>
      <c r="AC2367" s="13"/>
      <c r="AD2367" s="13"/>
      <c r="AE2367" s="13"/>
      <c r="AF2367" s="13"/>
      <c r="AG2367" s="13"/>
    </row>
    <row r="2368" spans="1:33" s="14" customFormat="1" ht="15" customHeight="1">
      <c r="A2368" s="10">
        <v>42942</v>
      </c>
      <c r="B2368" s="3" t="s">
        <v>141</v>
      </c>
      <c r="C2368" s="15" t="s">
        <v>47</v>
      </c>
      <c r="D2368" s="15">
        <v>220</v>
      </c>
      <c r="E2368" s="11">
        <v>3000</v>
      </c>
      <c r="F2368" s="3" t="s">
        <v>8</v>
      </c>
      <c r="G2368" s="46">
        <v>2</v>
      </c>
      <c r="H2368" s="3">
        <v>2.5</v>
      </c>
      <c r="I2368" s="46">
        <v>0</v>
      </c>
      <c r="J2368" s="55">
        <v>0</v>
      </c>
      <c r="K2368" s="1">
        <f t="shared" ref="K2368" si="3342">(IF(F2368="SELL",G2368-H2368,IF(F2368="BUY",H2368-G2368)))*E2368</f>
        <v>1500</v>
      </c>
      <c r="L2368" s="51">
        <v>0</v>
      </c>
      <c r="M2368" s="52">
        <f t="shared" si="3336"/>
        <v>0</v>
      </c>
      <c r="N2368" s="2">
        <f t="shared" si="3285"/>
        <v>0.5</v>
      </c>
      <c r="O2368" s="2">
        <f t="shared" si="3306"/>
        <v>1500</v>
      </c>
      <c r="P2368" s="13"/>
      <c r="Q2368" s="13"/>
      <c r="R2368" s="13"/>
      <c r="S2368" s="13"/>
      <c r="T2368" s="13"/>
      <c r="U2368" s="13"/>
      <c r="V2368" s="13"/>
      <c r="W2368" s="13"/>
      <c r="X2368" s="13"/>
      <c r="Y2368" s="13"/>
      <c r="Z2368" s="13"/>
      <c r="AA2368" s="13"/>
      <c r="AB2368" s="13"/>
      <c r="AC2368" s="13"/>
      <c r="AD2368" s="13"/>
      <c r="AE2368" s="13"/>
      <c r="AF2368" s="13"/>
      <c r="AG2368" s="13"/>
    </row>
    <row r="2369" spans="1:33" s="14" customFormat="1" ht="15" customHeight="1">
      <c r="A2369" s="10">
        <v>42942</v>
      </c>
      <c r="B2369" s="3" t="s">
        <v>140</v>
      </c>
      <c r="C2369" s="15" t="s">
        <v>47</v>
      </c>
      <c r="D2369" s="15">
        <v>1560</v>
      </c>
      <c r="E2369" s="11">
        <v>350</v>
      </c>
      <c r="F2369" s="3" t="s">
        <v>8</v>
      </c>
      <c r="G2369" s="46">
        <v>45</v>
      </c>
      <c r="H2369" s="3">
        <v>49</v>
      </c>
      <c r="I2369" s="46">
        <v>0</v>
      </c>
      <c r="J2369" s="55">
        <v>0</v>
      </c>
      <c r="K2369" s="1">
        <f t="shared" ref="K2369" si="3343">(IF(F2369="SELL",G2369-H2369,IF(F2369="BUY",H2369-G2369)))*E2369</f>
        <v>1400</v>
      </c>
      <c r="L2369" s="51">
        <v>0</v>
      </c>
      <c r="M2369" s="52">
        <f t="shared" si="3336"/>
        <v>0</v>
      </c>
      <c r="N2369" s="2">
        <f t="shared" si="3285"/>
        <v>4</v>
      </c>
      <c r="O2369" s="2">
        <f t="shared" si="3306"/>
        <v>1400</v>
      </c>
      <c r="P2369" s="13"/>
      <c r="Q2369" s="13"/>
      <c r="R2369" s="13"/>
      <c r="S2369" s="13"/>
      <c r="T2369" s="13"/>
      <c r="U2369" s="13"/>
      <c r="V2369" s="13"/>
      <c r="W2369" s="13"/>
      <c r="X2369" s="13"/>
      <c r="Y2369" s="13"/>
      <c r="Z2369" s="13"/>
      <c r="AA2369" s="13"/>
      <c r="AB2369" s="13"/>
      <c r="AC2369" s="13"/>
      <c r="AD2369" s="13"/>
      <c r="AE2369" s="13"/>
      <c r="AF2369" s="13"/>
      <c r="AG2369" s="13"/>
    </row>
    <row r="2370" spans="1:33" s="14" customFormat="1" ht="15" customHeight="1">
      <c r="A2370" s="10">
        <v>42941</v>
      </c>
      <c r="B2370" s="3" t="s">
        <v>139</v>
      </c>
      <c r="C2370" s="15" t="s">
        <v>47</v>
      </c>
      <c r="D2370" s="15">
        <v>500</v>
      </c>
      <c r="E2370" s="11">
        <v>350</v>
      </c>
      <c r="F2370" s="3" t="s">
        <v>8</v>
      </c>
      <c r="G2370" s="46">
        <v>22</v>
      </c>
      <c r="H2370" s="3">
        <v>25</v>
      </c>
      <c r="I2370" s="46">
        <v>31</v>
      </c>
      <c r="J2370" s="55">
        <v>0</v>
      </c>
      <c r="K2370" s="1">
        <f t="shared" ref="K2370" si="3344">(IF(F2370="SELL",G2370-H2370,IF(F2370="BUY",H2370-G2370)))*E2370</f>
        <v>1050</v>
      </c>
      <c r="L2370" s="51">
        <f t="shared" ref="L2370" si="3345">(IF(F2370="SELL",IF(I2370="",0,H2370-I2370),IF(F2370="BUY",IF(I2370="",0,I2370-H2370))))*E2370</f>
        <v>2100</v>
      </c>
      <c r="M2370" s="52">
        <v>0</v>
      </c>
      <c r="N2370" s="2">
        <f t="shared" si="3285"/>
        <v>9</v>
      </c>
      <c r="O2370" s="2">
        <f t="shared" si="3306"/>
        <v>3150</v>
      </c>
      <c r="P2370" s="13"/>
      <c r="Q2370" s="13"/>
      <c r="R2370" s="13"/>
      <c r="S2370" s="13"/>
      <c r="T2370" s="13"/>
      <c r="U2370" s="13"/>
      <c r="V2370" s="13"/>
      <c r="W2370" s="13"/>
      <c r="X2370" s="13"/>
      <c r="Y2370" s="13"/>
      <c r="Z2370" s="13"/>
      <c r="AA2370" s="13"/>
      <c r="AB2370" s="13"/>
      <c r="AC2370" s="13"/>
      <c r="AD2370" s="13"/>
      <c r="AE2370" s="13"/>
      <c r="AF2370" s="13"/>
      <c r="AG2370" s="13"/>
    </row>
    <row r="2371" spans="1:33" s="14" customFormat="1" ht="15" customHeight="1">
      <c r="A2371" s="10">
        <v>42934</v>
      </c>
      <c r="B2371" s="3" t="s">
        <v>138</v>
      </c>
      <c r="C2371" s="15" t="s">
        <v>47</v>
      </c>
      <c r="D2371" s="15">
        <v>290</v>
      </c>
      <c r="E2371" s="11">
        <v>2400</v>
      </c>
      <c r="F2371" s="3" t="s">
        <v>8</v>
      </c>
      <c r="G2371" s="46">
        <v>7</v>
      </c>
      <c r="H2371" s="3">
        <v>7.6</v>
      </c>
      <c r="I2371" s="46">
        <v>0</v>
      </c>
      <c r="J2371" s="55">
        <v>0</v>
      </c>
      <c r="K2371" s="1">
        <f t="shared" ref="K2371" si="3346">(IF(F2371="SELL",G2371-H2371,IF(F2371="BUY",H2371-G2371)))*E2371</f>
        <v>1439.9999999999991</v>
      </c>
      <c r="L2371" s="51">
        <v>0</v>
      </c>
      <c r="M2371" s="52">
        <f>(IF(F2371="SELL",IF(J2371="",0,I2371-J2371),IF(F2371="BUY",IF(J2371="",0,(J2371-I2371)))))*E2371</f>
        <v>0</v>
      </c>
      <c r="N2371" s="2">
        <f t="shared" si="3285"/>
        <v>0.59999999999999964</v>
      </c>
      <c r="O2371" s="2">
        <f t="shared" si="3306"/>
        <v>1439.9999999999991</v>
      </c>
      <c r="P2371" s="13"/>
      <c r="Q2371" s="13"/>
      <c r="R2371" s="13"/>
      <c r="S2371" s="13"/>
      <c r="T2371" s="13"/>
      <c r="U2371" s="13"/>
      <c r="V2371" s="13"/>
      <c r="W2371" s="13"/>
      <c r="X2371" s="13"/>
      <c r="Y2371" s="13"/>
      <c r="Z2371" s="13"/>
      <c r="AA2371" s="13"/>
      <c r="AB2371" s="13"/>
      <c r="AC2371" s="13"/>
      <c r="AD2371" s="13"/>
      <c r="AE2371" s="13"/>
      <c r="AF2371" s="13"/>
      <c r="AG2371" s="13"/>
    </row>
    <row r="2372" spans="1:33" s="14" customFormat="1" ht="15" customHeight="1">
      <c r="A2372" s="10">
        <v>42931</v>
      </c>
      <c r="B2372" s="3" t="s">
        <v>135</v>
      </c>
      <c r="C2372" s="15" t="s">
        <v>47</v>
      </c>
      <c r="D2372" s="15">
        <v>1300</v>
      </c>
      <c r="E2372" s="11">
        <v>750</v>
      </c>
      <c r="F2372" s="3" t="s">
        <v>8</v>
      </c>
      <c r="G2372" s="46">
        <v>15</v>
      </c>
      <c r="H2372" s="3">
        <v>17</v>
      </c>
      <c r="I2372" s="46">
        <v>21</v>
      </c>
      <c r="J2372" s="55">
        <v>25</v>
      </c>
      <c r="K2372" s="1">
        <f t="shared" ref="K2372" si="3347">(IF(F2372="SELL",G2372-H2372,IF(F2372="BUY",H2372-G2372)))*E2372</f>
        <v>1500</v>
      </c>
      <c r="L2372" s="51">
        <f t="shared" ref="L2372" si="3348">(IF(F2372="SELL",IF(I2372="",0,H2372-I2372),IF(F2372="BUY",IF(I2372="",0,I2372-H2372))))*E2372</f>
        <v>3000</v>
      </c>
      <c r="M2372" s="52">
        <f>(IF(F2372="SELL",IF(J2372="",0,I2372-J2372),IF(F2372="BUY",IF(J2372="",0,(J2372-I2372)))))*E2372</f>
        <v>3000</v>
      </c>
      <c r="N2372" s="2">
        <f t="shared" si="3285"/>
        <v>10</v>
      </c>
      <c r="O2372" s="2">
        <f t="shared" si="3306"/>
        <v>7500</v>
      </c>
      <c r="P2372" s="13"/>
      <c r="Q2372" s="13"/>
      <c r="R2372" s="13"/>
      <c r="S2372" s="13"/>
      <c r="T2372" s="13"/>
      <c r="U2372" s="13"/>
      <c r="V2372" s="13"/>
      <c r="W2372" s="13"/>
      <c r="X2372" s="13"/>
      <c r="Y2372" s="13"/>
      <c r="Z2372" s="13"/>
      <c r="AA2372" s="13"/>
      <c r="AB2372" s="13"/>
      <c r="AC2372" s="13"/>
      <c r="AD2372" s="13"/>
      <c r="AE2372" s="13"/>
      <c r="AF2372" s="13"/>
      <c r="AG2372" s="13"/>
    </row>
    <row r="2373" spans="1:33" s="14" customFormat="1" ht="15" customHeight="1">
      <c r="A2373" s="10">
        <v>42933</v>
      </c>
      <c r="B2373" s="3" t="s">
        <v>137</v>
      </c>
      <c r="C2373" s="15" t="s">
        <v>47</v>
      </c>
      <c r="D2373" s="15">
        <v>1560</v>
      </c>
      <c r="E2373" s="11">
        <v>500</v>
      </c>
      <c r="F2373" s="3" t="s">
        <v>8</v>
      </c>
      <c r="G2373" s="46">
        <v>20</v>
      </c>
      <c r="H2373" s="3">
        <v>23</v>
      </c>
      <c r="I2373" s="46">
        <v>0</v>
      </c>
      <c r="J2373" s="55">
        <v>0</v>
      </c>
      <c r="K2373" s="1">
        <f t="shared" ref="K2373" si="3349">(IF(F2373="SELL",G2373-H2373,IF(F2373="BUY",H2373-G2373)))*E2373</f>
        <v>1500</v>
      </c>
      <c r="L2373" s="51">
        <v>0</v>
      </c>
      <c r="M2373" s="52">
        <f>(IF(F2373="SELL",IF(J2373="",0,I2373-J2373),IF(F2373="BUY",IF(J2373="",0,(J2373-I2373)))))*E2373</f>
        <v>0</v>
      </c>
      <c r="N2373" s="2">
        <f t="shared" si="3285"/>
        <v>3</v>
      </c>
      <c r="O2373" s="2">
        <f t="shared" si="3306"/>
        <v>1500</v>
      </c>
      <c r="P2373" s="13"/>
      <c r="Q2373" s="13"/>
      <c r="R2373" s="13"/>
      <c r="S2373" s="13"/>
      <c r="T2373" s="13"/>
      <c r="U2373" s="13"/>
      <c r="V2373" s="13"/>
      <c r="W2373" s="13"/>
      <c r="X2373" s="13"/>
      <c r="Y2373" s="13"/>
      <c r="Z2373" s="13"/>
      <c r="AA2373" s="13"/>
      <c r="AB2373" s="13"/>
      <c r="AC2373" s="13"/>
      <c r="AD2373" s="13"/>
      <c r="AE2373" s="13"/>
      <c r="AF2373" s="13"/>
      <c r="AG2373" s="13"/>
    </row>
    <row r="2374" spans="1:33" s="14" customFormat="1" ht="15" customHeight="1">
      <c r="A2374" s="10">
        <v>42933</v>
      </c>
      <c r="B2374" s="3" t="s">
        <v>104</v>
      </c>
      <c r="C2374" s="15" t="s">
        <v>47</v>
      </c>
      <c r="D2374" s="15">
        <v>1160</v>
      </c>
      <c r="E2374" s="11">
        <v>400</v>
      </c>
      <c r="F2374" s="3" t="s">
        <v>8</v>
      </c>
      <c r="G2374" s="46">
        <v>16.8</v>
      </c>
      <c r="H2374" s="3">
        <v>16.8</v>
      </c>
      <c r="I2374" s="46">
        <v>0</v>
      </c>
      <c r="J2374" s="55">
        <v>0</v>
      </c>
      <c r="K2374" s="1">
        <f t="shared" ref="K2374" si="3350">(IF(F2374="SELL",G2374-H2374,IF(F2374="BUY",H2374-G2374)))*E2374</f>
        <v>0</v>
      </c>
      <c r="L2374" s="51">
        <v>0</v>
      </c>
      <c r="M2374" s="52">
        <v>0</v>
      </c>
      <c r="N2374" s="2">
        <f t="shared" si="3285"/>
        <v>0</v>
      </c>
      <c r="O2374" s="2">
        <f t="shared" si="3306"/>
        <v>0</v>
      </c>
      <c r="P2374" s="13"/>
      <c r="Q2374" s="13"/>
      <c r="R2374" s="13"/>
      <c r="S2374" s="13"/>
      <c r="T2374" s="13"/>
      <c r="U2374" s="13"/>
      <c r="V2374" s="13"/>
      <c r="W2374" s="13"/>
      <c r="X2374" s="13"/>
      <c r="Y2374" s="13"/>
      <c r="Z2374" s="13"/>
      <c r="AA2374" s="13"/>
      <c r="AB2374" s="13"/>
      <c r="AC2374" s="13"/>
      <c r="AD2374" s="13"/>
      <c r="AE2374" s="13"/>
      <c r="AF2374" s="13"/>
      <c r="AG2374" s="13"/>
    </row>
    <row r="2375" spans="1:33" s="14" customFormat="1" ht="15" customHeight="1">
      <c r="A2375" s="10">
        <v>42930</v>
      </c>
      <c r="B2375" s="3" t="s">
        <v>83</v>
      </c>
      <c r="C2375" s="15" t="s">
        <v>47</v>
      </c>
      <c r="D2375" s="15">
        <v>24000</v>
      </c>
      <c r="E2375" s="11">
        <v>40</v>
      </c>
      <c r="F2375" s="3" t="s">
        <v>8</v>
      </c>
      <c r="G2375" s="46">
        <v>85</v>
      </c>
      <c r="H2375" s="3">
        <v>65</v>
      </c>
      <c r="I2375" s="46">
        <v>0</v>
      </c>
      <c r="J2375" s="55">
        <v>0</v>
      </c>
      <c r="K2375" s="1">
        <f t="shared" ref="K2375" si="3351">(IF(F2375="SELL",G2375-H2375,IF(F2375="BUY",H2375-G2375)))*E2375</f>
        <v>-800</v>
      </c>
      <c r="L2375" s="51">
        <v>0</v>
      </c>
      <c r="M2375" s="52">
        <v>0</v>
      </c>
      <c r="N2375" s="2">
        <f t="shared" si="3285"/>
        <v>-20</v>
      </c>
      <c r="O2375" s="2">
        <f t="shared" si="3306"/>
        <v>-800</v>
      </c>
      <c r="P2375" s="13"/>
      <c r="Q2375" s="13"/>
      <c r="R2375" s="13"/>
      <c r="S2375" s="13"/>
      <c r="T2375" s="13"/>
      <c r="U2375" s="13"/>
      <c r="V2375" s="13"/>
      <c r="W2375" s="13"/>
      <c r="X2375" s="13"/>
      <c r="Y2375" s="13"/>
      <c r="Z2375" s="13"/>
      <c r="AA2375" s="13"/>
      <c r="AB2375" s="13"/>
      <c r="AC2375" s="13"/>
      <c r="AD2375" s="13"/>
      <c r="AE2375" s="13"/>
      <c r="AF2375" s="13"/>
      <c r="AG2375" s="13"/>
    </row>
    <row r="2376" spans="1:33" s="14" customFormat="1" ht="15" customHeight="1">
      <c r="A2376" s="10">
        <v>42930</v>
      </c>
      <c r="B2376" s="3" t="s">
        <v>37</v>
      </c>
      <c r="C2376" s="15" t="s">
        <v>46</v>
      </c>
      <c r="D2376" s="15">
        <v>2450</v>
      </c>
      <c r="E2376" s="11">
        <v>250</v>
      </c>
      <c r="F2376" s="3" t="s">
        <v>8</v>
      </c>
      <c r="G2376" s="46">
        <v>55</v>
      </c>
      <c r="H2376" s="3">
        <v>62</v>
      </c>
      <c r="I2376" s="46">
        <v>0</v>
      </c>
      <c r="J2376" s="55">
        <v>0</v>
      </c>
      <c r="K2376" s="1">
        <f t="shared" ref="K2376" si="3352">(IF(F2376="SELL",G2376-H2376,IF(F2376="BUY",H2376-G2376)))*E2376</f>
        <v>1750</v>
      </c>
      <c r="L2376" s="51">
        <v>0</v>
      </c>
      <c r="M2376" s="52">
        <v>0</v>
      </c>
      <c r="N2376" s="2">
        <f t="shared" si="3285"/>
        <v>7</v>
      </c>
      <c r="O2376" s="2">
        <f t="shared" si="3306"/>
        <v>1750</v>
      </c>
      <c r="P2376" s="13"/>
      <c r="Q2376" s="13"/>
      <c r="R2376" s="13"/>
      <c r="S2376" s="13"/>
      <c r="T2376" s="13"/>
      <c r="U2376" s="13"/>
      <c r="V2376" s="13"/>
      <c r="W2376" s="13"/>
      <c r="X2376" s="13"/>
      <c r="Y2376" s="13"/>
      <c r="Z2376" s="13"/>
      <c r="AA2376" s="13"/>
      <c r="AB2376" s="13"/>
      <c r="AC2376" s="13"/>
      <c r="AD2376" s="13"/>
      <c r="AE2376" s="13"/>
      <c r="AF2376" s="13"/>
      <c r="AG2376" s="13"/>
    </row>
    <row r="2377" spans="1:33" s="14" customFormat="1" ht="15" customHeight="1">
      <c r="A2377" s="10">
        <v>42929</v>
      </c>
      <c r="B2377" s="3" t="s">
        <v>39</v>
      </c>
      <c r="C2377" s="15" t="s">
        <v>47</v>
      </c>
      <c r="D2377" s="15">
        <v>1520</v>
      </c>
      <c r="E2377" s="11">
        <v>500</v>
      </c>
      <c r="F2377" s="3" t="s">
        <v>8</v>
      </c>
      <c r="G2377" s="46">
        <v>25</v>
      </c>
      <c r="H2377" s="3">
        <v>30</v>
      </c>
      <c r="I2377" s="46">
        <v>0</v>
      </c>
      <c r="J2377" s="55">
        <v>0</v>
      </c>
      <c r="K2377" s="1">
        <f t="shared" ref="K2377" si="3353">(IF(F2377="SELL",G2377-H2377,IF(F2377="BUY",H2377-G2377)))*E2377</f>
        <v>2500</v>
      </c>
      <c r="L2377" s="51">
        <v>0</v>
      </c>
      <c r="M2377" s="52">
        <v>0</v>
      </c>
      <c r="N2377" s="2">
        <f t="shared" si="3285"/>
        <v>5</v>
      </c>
      <c r="O2377" s="2">
        <f t="shared" si="3306"/>
        <v>2500</v>
      </c>
      <c r="P2377" s="13"/>
      <c r="Q2377" s="13"/>
      <c r="R2377" s="13"/>
      <c r="S2377" s="13"/>
      <c r="T2377" s="13"/>
      <c r="U2377" s="13"/>
      <c r="V2377" s="13"/>
      <c r="W2377" s="13"/>
      <c r="X2377" s="13"/>
      <c r="Y2377" s="13"/>
      <c r="Z2377" s="13"/>
      <c r="AA2377" s="13"/>
      <c r="AB2377" s="13"/>
      <c r="AC2377" s="13"/>
      <c r="AD2377" s="13"/>
      <c r="AE2377" s="13"/>
      <c r="AF2377" s="13"/>
      <c r="AG2377" s="13"/>
    </row>
    <row r="2378" spans="1:33" s="14" customFormat="1" ht="15" customHeight="1">
      <c r="A2378" s="10">
        <v>42929</v>
      </c>
      <c r="B2378" s="3" t="s">
        <v>114</v>
      </c>
      <c r="C2378" s="15" t="s">
        <v>47</v>
      </c>
      <c r="D2378" s="15">
        <v>1560</v>
      </c>
      <c r="E2378" s="11">
        <v>350</v>
      </c>
      <c r="F2378" s="3" t="s">
        <v>8</v>
      </c>
      <c r="G2378" s="46">
        <v>23</v>
      </c>
      <c r="H2378" s="3">
        <v>27</v>
      </c>
      <c r="I2378" s="46">
        <v>35</v>
      </c>
      <c r="J2378" s="55">
        <v>40</v>
      </c>
      <c r="K2378" s="1">
        <f t="shared" ref="K2378" si="3354">(IF(F2378="SELL",G2378-H2378,IF(F2378="BUY",H2378-G2378)))*E2378</f>
        <v>1400</v>
      </c>
      <c r="L2378" s="51">
        <f t="shared" ref="L2378" si="3355">(IF(F2378="SELL",IF(I2378="",0,H2378-I2378),IF(F2378="BUY",IF(I2378="",0,I2378-H2378))))*E2378</f>
        <v>2800</v>
      </c>
      <c r="M2378" s="52">
        <f>(IF(F2378="SELL",IF(J2378="",0,I2378-J2378),IF(F2378="BUY",IF(J2378="",0,(J2378-I2378)))))*E2378</f>
        <v>1750</v>
      </c>
      <c r="N2378" s="2">
        <f t="shared" si="3285"/>
        <v>17</v>
      </c>
      <c r="O2378" s="2">
        <f t="shared" si="3306"/>
        <v>5950</v>
      </c>
      <c r="P2378" s="13"/>
      <c r="Q2378" s="13"/>
      <c r="R2378" s="13"/>
      <c r="S2378" s="13"/>
      <c r="T2378" s="13"/>
      <c r="U2378" s="13"/>
      <c r="V2378" s="13"/>
      <c r="W2378" s="13"/>
      <c r="X2378" s="13"/>
      <c r="Y2378" s="13"/>
      <c r="Z2378" s="13"/>
      <c r="AA2378" s="13"/>
      <c r="AB2378" s="13"/>
      <c r="AC2378" s="13"/>
      <c r="AD2378" s="13"/>
      <c r="AE2378" s="13"/>
      <c r="AF2378" s="13"/>
      <c r="AG2378" s="13"/>
    </row>
    <row r="2379" spans="1:33" s="14" customFormat="1" ht="15" customHeight="1">
      <c r="A2379" s="10">
        <v>42929</v>
      </c>
      <c r="B2379" s="3" t="s">
        <v>83</v>
      </c>
      <c r="C2379" s="15" t="s">
        <v>47</v>
      </c>
      <c r="D2379" s="15">
        <v>23900</v>
      </c>
      <c r="E2379" s="11">
        <v>40</v>
      </c>
      <c r="F2379" s="3" t="s">
        <v>8</v>
      </c>
      <c r="G2379" s="46">
        <v>30</v>
      </c>
      <c r="H2379" s="3">
        <v>45</v>
      </c>
      <c r="I2379" s="46">
        <v>0</v>
      </c>
      <c r="J2379" s="55">
        <v>0</v>
      </c>
      <c r="K2379" s="1">
        <f t="shared" ref="K2379" si="3356">(IF(F2379="SELL",G2379-H2379,IF(F2379="BUY",H2379-G2379)))*E2379</f>
        <v>600</v>
      </c>
      <c r="L2379" s="51">
        <v>0</v>
      </c>
      <c r="M2379" s="52">
        <v>0</v>
      </c>
      <c r="N2379" s="2">
        <f t="shared" si="3285"/>
        <v>15</v>
      </c>
      <c r="O2379" s="2">
        <f t="shared" si="3306"/>
        <v>600</v>
      </c>
      <c r="P2379" s="13"/>
      <c r="Q2379" s="13"/>
      <c r="R2379" s="13"/>
      <c r="S2379" s="13"/>
      <c r="T2379" s="13"/>
      <c r="U2379" s="13"/>
      <c r="V2379" s="13"/>
      <c r="W2379" s="13"/>
      <c r="X2379" s="13"/>
      <c r="Y2379" s="13"/>
      <c r="Z2379" s="13"/>
      <c r="AA2379" s="13"/>
      <c r="AB2379" s="13"/>
      <c r="AC2379" s="13"/>
      <c r="AD2379" s="13"/>
      <c r="AE2379" s="13"/>
      <c r="AF2379" s="13"/>
      <c r="AG2379" s="13"/>
    </row>
    <row r="2380" spans="1:33" s="14" customFormat="1" ht="15" customHeight="1">
      <c r="A2380" s="10">
        <v>42929</v>
      </c>
      <c r="B2380" s="3" t="s">
        <v>39</v>
      </c>
      <c r="C2380" s="15" t="s">
        <v>47</v>
      </c>
      <c r="D2380" s="15">
        <v>1500</v>
      </c>
      <c r="E2380" s="11">
        <v>500</v>
      </c>
      <c r="F2380" s="3" t="s">
        <v>8</v>
      </c>
      <c r="G2380" s="46">
        <v>35</v>
      </c>
      <c r="H2380" s="3">
        <v>35</v>
      </c>
      <c r="I2380" s="46">
        <v>0</v>
      </c>
      <c r="J2380" s="55">
        <v>0</v>
      </c>
      <c r="K2380" s="1">
        <f t="shared" ref="K2380" si="3357">(IF(F2380="SELL",G2380-H2380,IF(F2380="BUY",H2380-G2380)))*E2380</f>
        <v>0</v>
      </c>
      <c r="L2380" s="51">
        <v>0</v>
      </c>
      <c r="M2380" s="52">
        <v>0</v>
      </c>
      <c r="N2380" s="2">
        <f t="shared" ref="N2380:N2443" si="3358">(L2380+K2380+M2380)/E2380</f>
        <v>0</v>
      </c>
      <c r="O2380" s="2">
        <f t="shared" si="3306"/>
        <v>0</v>
      </c>
      <c r="P2380" s="13"/>
      <c r="Q2380" s="13"/>
      <c r="R2380" s="13"/>
      <c r="S2380" s="13"/>
      <c r="T2380" s="13"/>
      <c r="U2380" s="13"/>
      <c r="V2380" s="13"/>
      <c r="W2380" s="13"/>
      <c r="X2380" s="13"/>
      <c r="Y2380" s="13"/>
      <c r="Z2380" s="13"/>
      <c r="AA2380" s="13"/>
      <c r="AB2380" s="13"/>
      <c r="AC2380" s="13"/>
      <c r="AD2380" s="13"/>
      <c r="AE2380" s="13"/>
      <c r="AF2380" s="13"/>
      <c r="AG2380" s="13"/>
    </row>
    <row r="2381" spans="1:33" s="14" customFormat="1" ht="15" customHeight="1">
      <c r="A2381" s="10">
        <v>42928</v>
      </c>
      <c r="B2381" s="3" t="s">
        <v>114</v>
      </c>
      <c r="C2381" s="15" t="s">
        <v>47</v>
      </c>
      <c r="D2381" s="15">
        <v>1520</v>
      </c>
      <c r="E2381" s="11">
        <v>350</v>
      </c>
      <c r="F2381" s="3" t="s">
        <v>8</v>
      </c>
      <c r="G2381" s="46">
        <v>29</v>
      </c>
      <c r="H2381" s="3">
        <v>33</v>
      </c>
      <c r="I2381" s="46">
        <v>0</v>
      </c>
      <c r="J2381" s="55">
        <v>0</v>
      </c>
      <c r="K2381" s="1">
        <f t="shared" ref="K2381" si="3359">(IF(F2381="SELL",G2381-H2381,IF(F2381="BUY",H2381-G2381)))*E2381</f>
        <v>1400</v>
      </c>
      <c r="L2381" s="51">
        <v>0</v>
      </c>
      <c r="M2381" s="52">
        <v>0</v>
      </c>
      <c r="N2381" s="2">
        <f t="shared" si="3358"/>
        <v>4</v>
      </c>
      <c r="O2381" s="2">
        <f t="shared" si="3306"/>
        <v>1400</v>
      </c>
      <c r="P2381" s="13"/>
      <c r="Q2381" s="13"/>
      <c r="R2381" s="13"/>
      <c r="S2381" s="13"/>
      <c r="T2381" s="13"/>
      <c r="U2381" s="13"/>
      <c r="V2381" s="13"/>
      <c r="W2381" s="13"/>
      <c r="X2381" s="13"/>
      <c r="Y2381" s="13"/>
      <c r="Z2381" s="13"/>
      <c r="AA2381" s="13"/>
      <c r="AB2381" s="13"/>
      <c r="AC2381" s="13"/>
      <c r="AD2381" s="13"/>
      <c r="AE2381" s="13"/>
      <c r="AF2381" s="13"/>
      <c r="AG2381" s="13"/>
    </row>
    <row r="2382" spans="1:33" s="5" customFormat="1" ht="15" customHeight="1">
      <c r="A2382" s="10">
        <v>42928</v>
      </c>
      <c r="B2382" s="3" t="s">
        <v>83</v>
      </c>
      <c r="C2382" s="15" t="s">
        <v>47</v>
      </c>
      <c r="D2382" s="15">
        <v>23700</v>
      </c>
      <c r="E2382" s="11">
        <v>40</v>
      </c>
      <c r="F2382" s="3" t="s">
        <v>8</v>
      </c>
      <c r="G2382" s="46">
        <v>35</v>
      </c>
      <c r="H2382" s="3">
        <v>19</v>
      </c>
      <c r="I2382" s="46">
        <v>0</v>
      </c>
      <c r="J2382" s="55">
        <v>0</v>
      </c>
      <c r="K2382" s="1">
        <f t="shared" ref="K2382" si="3360">(IF(F2382="SELL",G2382-H2382,IF(F2382="BUY",H2382-G2382)))*E2382</f>
        <v>-640</v>
      </c>
      <c r="L2382" s="51">
        <v>0</v>
      </c>
      <c r="M2382" s="52">
        <v>0</v>
      </c>
      <c r="N2382" s="2">
        <f t="shared" si="3358"/>
        <v>-16</v>
      </c>
      <c r="O2382" s="2">
        <f t="shared" si="3306"/>
        <v>-640</v>
      </c>
      <c r="P2382" s="25"/>
      <c r="Q2382" s="25"/>
      <c r="R2382" s="25"/>
      <c r="S2382" s="25"/>
      <c r="T2382" s="25"/>
      <c r="U2382" s="25"/>
      <c r="V2382" s="25"/>
      <c r="W2382" s="25"/>
      <c r="X2382" s="25"/>
      <c r="Y2382" s="25"/>
      <c r="Z2382" s="25"/>
      <c r="AA2382" s="25"/>
      <c r="AB2382" s="25"/>
      <c r="AC2382" s="25"/>
      <c r="AD2382" s="25"/>
      <c r="AE2382" s="25"/>
      <c r="AF2382" s="25"/>
      <c r="AG2382" s="25"/>
    </row>
    <row r="2383" spans="1:33" s="14" customFormat="1" ht="15" customHeight="1">
      <c r="A2383" s="10">
        <v>42928</v>
      </c>
      <c r="B2383" s="3" t="s">
        <v>133</v>
      </c>
      <c r="C2383" s="15" t="s">
        <v>47</v>
      </c>
      <c r="D2383" s="15">
        <v>1580</v>
      </c>
      <c r="E2383" s="11">
        <v>600</v>
      </c>
      <c r="F2383" s="3" t="s">
        <v>8</v>
      </c>
      <c r="G2383" s="46">
        <v>25</v>
      </c>
      <c r="H2383" s="3">
        <v>25</v>
      </c>
      <c r="I2383" s="46">
        <v>0</v>
      </c>
      <c r="J2383" s="55">
        <v>0</v>
      </c>
      <c r="K2383" s="1">
        <f t="shared" ref="K2383" si="3361">(IF(F2383="SELL",G2383-H2383,IF(F2383="BUY",H2383-G2383)))*E2383</f>
        <v>0</v>
      </c>
      <c r="L2383" s="51">
        <v>0</v>
      </c>
      <c r="M2383" s="52">
        <v>0</v>
      </c>
      <c r="N2383" s="2">
        <f t="shared" si="3358"/>
        <v>0</v>
      </c>
      <c r="O2383" s="2">
        <f t="shared" si="3306"/>
        <v>0</v>
      </c>
      <c r="P2383" s="13"/>
      <c r="Q2383" s="13"/>
      <c r="R2383" s="13"/>
      <c r="S2383" s="13"/>
      <c r="T2383" s="13"/>
      <c r="U2383" s="13"/>
      <c r="V2383" s="13"/>
      <c r="W2383" s="13"/>
      <c r="X2383" s="13"/>
      <c r="Y2383" s="13"/>
      <c r="Z2383" s="13"/>
      <c r="AA2383" s="13"/>
      <c r="AB2383" s="13"/>
      <c r="AC2383" s="13"/>
      <c r="AD2383" s="13"/>
      <c r="AE2383" s="13"/>
      <c r="AF2383" s="13"/>
      <c r="AG2383" s="13"/>
    </row>
    <row r="2384" spans="1:33" s="14" customFormat="1" ht="15" customHeight="1">
      <c r="A2384" s="10">
        <v>42927</v>
      </c>
      <c r="B2384" s="3" t="s">
        <v>83</v>
      </c>
      <c r="C2384" s="15" t="s">
        <v>47</v>
      </c>
      <c r="D2384" s="15">
        <v>23800</v>
      </c>
      <c r="E2384" s="11">
        <v>40</v>
      </c>
      <c r="F2384" s="3" t="s">
        <v>8</v>
      </c>
      <c r="G2384" s="46">
        <v>50</v>
      </c>
      <c r="H2384" s="3">
        <v>65</v>
      </c>
      <c r="I2384" s="46">
        <v>0</v>
      </c>
      <c r="J2384" s="55">
        <v>0</v>
      </c>
      <c r="K2384" s="1">
        <f t="shared" ref="K2384" si="3362">(IF(F2384="SELL",G2384-H2384,IF(F2384="BUY",H2384-G2384)))*E2384</f>
        <v>600</v>
      </c>
      <c r="L2384" s="51">
        <v>0</v>
      </c>
      <c r="M2384" s="52">
        <v>0</v>
      </c>
      <c r="N2384" s="2">
        <f t="shared" si="3358"/>
        <v>15</v>
      </c>
      <c r="O2384" s="2">
        <f t="shared" si="3306"/>
        <v>600</v>
      </c>
      <c r="P2384" s="13"/>
      <c r="Q2384" s="13"/>
      <c r="R2384" s="13"/>
      <c r="S2384" s="13"/>
      <c r="T2384" s="13"/>
      <c r="U2384" s="13"/>
      <c r="V2384" s="13"/>
      <c r="W2384" s="13"/>
      <c r="X2384" s="13"/>
      <c r="Y2384" s="13"/>
      <c r="Z2384" s="13"/>
      <c r="AA2384" s="13"/>
      <c r="AB2384" s="13"/>
      <c r="AC2384" s="13"/>
      <c r="AD2384" s="13"/>
      <c r="AE2384" s="13"/>
      <c r="AF2384" s="13"/>
      <c r="AG2384" s="13"/>
    </row>
    <row r="2385" spans="1:33" s="14" customFormat="1" ht="15" customHeight="1">
      <c r="A2385" s="10">
        <v>42927</v>
      </c>
      <c r="B2385" s="3" t="s">
        <v>132</v>
      </c>
      <c r="C2385" s="15" t="s">
        <v>47</v>
      </c>
      <c r="D2385" s="15">
        <v>135</v>
      </c>
      <c r="E2385" s="11">
        <v>4500</v>
      </c>
      <c r="F2385" s="3" t="s">
        <v>8</v>
      </c>
      <c r="G2385" s="46">
        <v>5</v>
      </c>
      <c r="H2385" s="3">
        <v>5.3</v>
      </c>
      <c r="I2385" s="46">
        <v>5.9</v>
      </c>
      <c r="J2385" s="55">
        <v>0</v>
      </c>
      <c r="K2385" s="1">
        <f t="shared" ref="K2385" si="3363">(IF(F2385="SELL",G2385-H2385,IF(F2385="BUY",H2385-G2385)))*E2385</f>
        <v>1349.9999999999991</v>
      </c>
      <c r="L2385" s="51">
        <f t="shared" ref="L2385" si="3364">(IF(F2385="SELL",IF(I2385="",0,H2385-I2385),IF(F2385="BUY",IF(I2385="",0,I2385-H2385))))*E2385</f>
        <v>2700.0000000000023</v>
      </c>
      <c r="M2385" s="52">
        <v>0</v>
      </c>
      <c r="N2385" s="2">
        <f t="shared" si="3358"/>
        <v>0.90000000000000036</v>
      </c>
      <c r="O2385" s="2">
        <f t="shared" si="3306"/>
        <v>4050.0000000000018</v>
      </c>
      <c r="P2385" s="13"/>
      <c r="Q2385" s="13"/>
      <c r="R2385" s="13"/>
      <c r="S2385" s="13"/>
      <c r="T2385" s="13"/>
      <c r="U2385" s="13"/>
      <c r="V2385" s="13"/>
      <c r="W2385" s="13"/>
      <c r="X2385" s="13"/>
      <c r="Y2385" s="13"/>
      <c r="Z2385" s="13"/>
      <c r="AA2385" s="13"/>
      <c r="AB2385" s="13"/>
      <c r="AC2385" s="13"/>
      <c r="AD2385" s="13"/>
      <c r="AE2385" s="13"/>
      <c r="AF2385" s="13"/>
      <c r="AG2385" s="13"/>
    </row>
    <row r="2386" spans="1:33" s="14" customFormat="1" ht="15" customHeight="1">
      <c r="A2386" s="10">
        <v>42923</v>
      </c>
      <c r="B2386" s="3" t="s">
        <v>131</v>
      </c>
      <c r="C2386" s="15" t="s">
        <v>47</v>
      </c>
      <c r="D2386" s="15">
        <v>260</v>
      </c>
      <c r="E2386" s="11">
        <v>2500</v>
      </c>
      <c r="F2386" s="3" t="s">
        <v>8</v>
      </c>
      <c r="G2386" s="46">
        <v>4</v>
      </c>
      <c r="H2386" s="3">
        <v>4</v>
      </c>
      <c r="I2386" s="46">
        <v>0</v>
      </c>
      <c r="J2386" s="55">
        <v>0</v>
      </c>
      <c r="K2386" s="1">
        <f t="shared" ref="K2386" si="3365">(IF(F2386="SELL",G2386-H2386,IF(F2386="BUY",H2386-G2386)))*E2386</f>
        <v>0</v>
      </c>
      <c r="L2386" s="51">
        <v>0</v>
      </c>
      <c r="M2386" s="52">
        <v>0</v>
      </c>
      <c r="N2386" s="2">
        <f t="shared" si="3358"/>
        <v>0</v>
      </c>
      <c r="O2386" s="2">
        <f t="shared" si="3306"/>
        <v>0</v>
      </c>
      <c r="P2386" s="13"/>
      <c r="Q2386" s="13"/>
      <c r="R2386" s="13"/>
      <c r="S2386" s="13"/>
      <c r="T2386" s="13"/>
      <c r="U2386" s="13"/>
      <c r="V2386" s="13"/>
      <c r="W2386" s="13"/>
      <c r="X2386" s="13"/>
      <c r="Y2386" s="13"/>
      <c r="Z2386" s="13"/>
      <c r="AA2386" s="13"/>
      <c r="AB2386" s="13"/>
      <c r="AC2386" s="13"/>
      <c r="AD2386" s="13"/>
      <c r="AE2386" s="13"/>
      <c r="AF2386" s="13"/>
      <c r="AG2386" s="13"/>
    </row>
    <row r="2387" spans="1:33" s="14" customFormat="1" ht="15" customHeight="1">
      <c r="A2387" s="10">
        <v>42923</v>
      </c>
      <c r="B2387" s="3" t="s">
        <v>103</v>
      </c>
      <c r="C2387" s="15" t="s">
        <v>47</v>
      </c>
      <c r="D2387" s="15">
        <v>105</v>
      </c>
      <c r="E2387" s="11">
        <v>7000</v>
      </c>
      <c r="F2387" s="3" t="s">
        <v>8</v>
      </c>
      <c r="G2387" s="46">
        <v>2</v>
      </c>
      <c r="H2387" s="3">
        <v>2</v>
      </c>
      <c r="I2387" s="46">
        <v>0</v>
      </c>
      <c r="J2387" s="55">
        <v>0</v>
      </c>
      <c r="K2387" s="1">
        <f t="shared" ref="K2387" si="3366">(IF(F2387="SELL",G2387-H2387,IF(F2387="BUY",H2387-G2387)))*E2387</f>
        <v>0</v>
      </c>
      <c r="L2387" s="51">
        <v>0</v>
      </c>
      <c r="M2387" s="52">
        <v>0</v>
      </c>
      <c r="N2387" s="2">
        <f t="shared" si="3358"/>
        <v>0</v>
      </c>
      <c r="O2387" s="2">
        <f t="shared" si="3306"/>
        <v>0</v>
      </c>
      <c r="P2387" s="13"/>
      <c r="Q2387" s="13"/>
      <c r="R2387" s="13"/>
      <c r="S2387" s="13"/>
      <c r="T2387" s="13"/>
      <c r="U2387" s="13"/>
      <c r="V2387" s="13"/>
      <c r="W2387" s="13"/>
      <c r="X2387" s="13"/>
      <c r="Y2387" s="13"/>
      <c r="Z2387" s="13"/>
      <c r="AA2387" s="13"/>
      <c r="AB2387" s="13"/>
      <c r="AC2387" s="13"/>
      <c r="AD2387" s="13"/>
      <c r="AE2387" s="13"/>
      <c r="AF2387" s="13"/>
      <c r="AG2387" s="13"/>
    </row>
    <row r="2388" spans="1:33" s="14" customFormat="1" ht="15" customHeight="1">
      <c r="A2388" s="10">
        <v>42923</v>
      </c>
      <c r="B2388" s="3" t="s">
        <v>114</v>
      </c>
      <c r="C2388" s="15" t="s">
        <v>46</v>
      </c>
      <c r="D2388" s="15">
        <v>1500</v>
      </c>
      <c r="E2388" s="11">
        <v>350</v>
      </c>
      <c r="F2388" s="3" t="s">
        <v>8</v>
      </c>
      <c r="G2388" s="46">
        <v>34</v>
      </c>
      <c r="H2388" s="3">
        <v>34</v>
      </c>
      <c r="I2388" s="46">
        <v>0</v>
      </c>
      <c r="J2388" s="55">
        <v>0</v>
      </c>
      <c r="K2388" s="1">
        <f t="shared" ref="K2388" si="3367">(IF(F2388="SELL",G2388-H2388,IF(F2388="BUY",H2388-G2388)))*E2388</f>
        <v>0</v>
      </c>
      <c r="L2388" s="51">
        <v>0</v>
      </c>
      <c r="M2388" s="52">
        <v>0</v>
      </c>
      <c r="N2388" s="2">
        <f t="shared" si="3358"/>
        <v>0</v>
      </c>
      <c r="O2388" s="2">
        <f t="shared" si="3306"/>
        <v>0</v>
      </c>
      <c r="P2388" s="13"/>
      <c r="Q2388" s="13"/>
      <c r="R2388" s="13"/>
      <c r="S2388" s="13"/>
      <c r="T2388" s="13"/>
      <c r="U2388" s="13"/>
      <c r="V2388" s="13"/>
      <c r="W2388" s="13"/>
      <c r="X2388" s="13"/>
      <c r="Y2388" s="13"/>
      <c r="Z2388" s="13"/>
      <c r="AA2388" s="13"/>
      <c r="AB2388" s="13"/>
      <c r="AC2388" s="13"/>
      <c r="AD2388" s="13"/>
      <c r="AE2388" s="13"/>
      <c r="AF2388" s="13"/>
      <c r="AG2388" s="13"/>
    </row>
    <row r="2389" spans="1:33" s="14" customFormat="1" ht="15" customHeight="1">
      <c r="A2389" s="10">
        <v>42923</v>
      </c>
      <c r="B2389" s="5" t="s">
        <v>73</v>
      </c>
      <c r="C2389" s="5" t="s">
        <v>47</v>
      </c>
      <c r="D2389" s="5">
        <v>1700</v>
      </c>
      <c r="E2389" s="9">
        <v>500</v>
      </c>
      <c r="F2389" s="5" t="s">
        <v>8</v>
      </c>
      <c r="G2389" s="5">
        <v>40</v>
      </c>
      <c r="H2389" s="5">
        <v>43</v>
      </c>
      <c r="I2389" s="5">
        <v>0</v>
      </c>
      <c r="J2389" s="5">
        <v>0</v>
      </c>
      <c r="K2389" s="1">
        <f t="shared" ref="K2389" si="3368">(IF(F2389="SELL",G2389-H2389,IF(F2389="BUY",H2389-G2389)))*E2389</f>
        <v>1500</v>
      </c>
      <c r="L2389" s="51">
        <v>0</v>
      </c>
      <c r="M2389" s="52">
        <f>(IF(F2389="SELL",IF(J2389="",0,I2389-J2389),IF(F2389="BUY",IF(J2389="",0,(J2389-I2389)))))*E2389</f>
        <v>0</v>
      </c>
      <c r="N2389" s="2">
        <f t="shared" si="3358"/>
        <v>3</v>
      </c>
      <c r="O2389" s="2">
        <f t="shared" si="3306"/>
        <v>1500</v>
      </c>
      <c r="P2389" s="13"/>
      <c r="Q2389" s="13"/>
      <c r="R2389" s="13"/>
      <c r="S2389" s="13"/>
      <c r="T2389" s="13"/>
      <c r="U2389" s="13"/>
      <c r="V2389" s="13"/>
      <c r="W2389" s="13"/>
      <c r="X2389" s="13"/>
      <c r="Y2389" s="13"/>
      <c r="Z2389" s="13"/>
      <c r="AA2389" s="13"/>
      <c r="AB2389" s="13"/>
      <c r="AC2389" s="13"/>
      <c r="AD2389" s="13"/>
      <c r="AE2389" s="13"/>
      <c r="AF2389" s="13"/>
      <c r="AG2389" s="13"/>
    </row>
    <row r="2390" spans="1:33" s="14" customFormat="1" ht="15" customHeight="1">
      <c r="A2390" s="4">
        <v>42923</v>
      </c>
      <c r="B2390" s="3" t="s">
        <v>83</v>
      </c>
      <c r="C2390" s="15" t="s">
        <v>46</v>
      </c>
      <c r="D2390" s="15">
        <v>23400</v>
      </c>
      <c r="E2390" s="11">
        <v>40</v>
      </c>
      <c r="F2390" s="3" t="s">
        <v>8</v>
      </c>
      <c r="G2390" s="46">
        <v>120</v>
      </c>
      <c r="H2390" s="3">
        <v>90</v>
      </c>
      <c r="I2390" s="46">
        <v>0</v>
      </c>
      <c r="J2390" s="55">
        <v>0</v>
      </c>
      <c r="K2390" s="1">
        <f t="shared" ref="K2390" si="3369">(IF(F2390="SELL",G2390-H2390,IF(F2390="BUY",H2390-G2390)))*E2390</f>
        <v>-1200</v>
      </c>
      <c r="L2390" s="51">
        <v>0</v>
      </c>
      <c r="M2390" s="52">
        <f>(IF(F2390="SELL",IF(J2390="",0,I2390-J2390),IF(F2390="BUY",IF(J2390="",0,(J2390-I2390)))))*E2390</f>
        <v>0</v>
      </c>
      <c r="N2390" s="2">
        <f t="shared" si="3358"/>
        <v>-30</v>
      </c>
      <c r="O2390" s="2">
        <f t="shared" si="3306"/>
        <v>-1200</v>
      </c>
      <c r="P2390" s="13"/>
      <c r="Q2390" s="13"/>
      <c r="R2390" s="13"/>
      <c r="S2390" s="13"/>
      <c r="T2390" s="13"/>
      <c r="U2390" s="13"/>
      <c r="V2390" s="13"/>
      <c r="W2390" s="13"/>
      <c r="X2390" s="13"/>
      <c r="Y2390" s="13"/>
      <c r="Z2390" s="13"/>
      <c r="AA2390" s="13"/>
      <c r="AB2390" s="13"/>
      <c r="AC2390" s="13"/>
      <c r="AD2390" s="13"/>
      <c r="AE2390" s="13"/>
      <c r="AF2390" s="13"/>
      <c r="AG2390" s="13"/>
    </row>
    <row r="2391" spans="1:33" s="14" customFormat="1" ht="15" customHeight="1">
      <c r="A2391" s="10">
        <v>42923</v>
      </c>
      <c r="B2391" s="3" t="s">
        <v>130</v>
      </c>
      <c r="C2391" s="15" t="s">
        <v>47</v>
      </c>
      <c r="D2391" s="15">
        <v>440</v>
      </c>
      <c r="E2391" s="11">
        <v>1500</v>
      </c>
      <c r="F2391" s="3" t="s">
        <v>8</v>
      </c>
      <c r="G2391" s="46">
        <v>10.5</v>
      </c>
      <c r="H2391" s="3">
        <v>10.5</v>
      </c>
      <c r="I2391" s="46">
        <v>0</v>
      </c>
      <c r="J2391" s="55">
        <v>0</v>
      </c>
      <c r="K2391" s="1">
        <f t="shared" ref="K2391" si="3370">(IF(F2391="SELL",G2391-H2391,IF(F2391="BUY",H2391-G2391)))*E2391</f>
        <v>0</v>
      </c>
      <c r="L2391" s="51">
        <v>0</v>
      </c>
      <c r="M2391" s="52">
        <f>(IF(F2391="SELL",IF(J2391="",0,I2391-J2391),IF(F2391="BUY",IF(J2391="",0,(J2391-I2391)))))*E2391</f>
        <v>0</v>
      </c>
      <c r="N2391" s="2">
        <f t="shared" si="3358"/>
        <v>0</v>
      </c>
      <c r="O2391" s="2">
        <f t="shared" si="3306"/>
        <v>0</v>
      </c>
      <c r="P2391" s="13"/>
      <c r="Q2391" s="13"/>
      <c r="R2391" s="13"/>
      <c r="S2391" s="13"/>
      <c r="T2391" s="13"/>
      <c r="U2391" s="13"/>
      <c r="V2391" s="13"/>
      <c r="W2391" s="13"/>
      <c r="X2391" s="13"/>
      <c r="Y2391" s="13"/>
      <c r="Z2391" s="13"/>
      <c r="AA2391" s="13"/>
      <c r="AB2391" s="13"/>
      <c r="AC2391" s="13"/>
      <c r="AD2391" s="13"/>
      <c r="AE2391" s="13"/>
      <c r="AF2391" s="13"/>
      <c r="AG2391" s="13"/>
    </row>
    <row r="2392" spans="1:33" s="14" customFormat="1" ht="15" customHeight="1">
      <c r="A2392" s="10">
        <v>42922</v>
      </c>
      <c r="B2392" s="3" t="s">
        <v>129</v>
      </c>
      <c r="C2392" s="15" t="s">
        <v>47</v>
      </c>
      <c r="D2392" s="15">
        <v>215</v>
      </c>
      <c r="E2392" s="11">
        <v>10000</v>
      </c>
      <c r="F2392" s="3" t="s">
        <v>8</v>
      </c>
      <c r="G2392" s="46">
        <v>10</v>
      </c>
      <c r="H2392" s="3">
        <v>10</v>
      </c>
      <c r="I2392" s="46">
        <v>0</v>
      </c>
      <c r="J2392" s="55">
        <v>0</v>
      </c>
      <c r="K2392" s="1">
        <f t="shared" ref="K2392" si="3371">(IF(F2392="SELL",G2392-H2392,IF(F2392="BUY",H2392-G2392)))*E2392</f>
        <v>0</v>
      </c>
      <c r="L2392" s="51">
        <v>0</v>
      </c>
      <c r="M2392" s="52">
        <f>(IF(F2392="SELL",IF(J2392="",0,I2392-J2392),IF(F2392="BUY",IF(J2392="",0,(J2392-I2392)))))*E2392</f>
        <v>0</v>
      </c>
      <c r="N2392" s="2">
        <f t="shared" si="3358"/>
        <v>0</v>
      </c>
      <c r="O2392" s="2">
        <f t="shared" si="3306"/>
        <v>0</v>
      </c>
      <c r="P2392" s="13"/>
      <c r="Q2392" s="13"/>
      <c r="R2392" s="13"/>
      <c r="S2392" s="13"/>
      <c r="T2392" s="13"/>
      <c r="U2392" s="13"/>
      <c r="V2392" s="13"/>
      <c r="W2392" s="13"/>
      <c r="X2392" s="13"/>
      <c r="Y2392" s="13"/>
      <c r="Z2392" s="13"/>
      <c r="AA2392" s="13"/>
      <c r="AB2392" s="13"/>
      <c r="AC2392" s="13"/>
      <c r="AD2392" s="13"/>
      <c r="AE2392" s="13"/>
      <c r="AF2392" s="13"/>
      <c r="AG2392" s="13"/>
    </row>
    <row r="2393" spans="1:33" s="14" customFormat="1" ht="15" customHeight="1">
      <c r="A2393" s="10">
        <v>42922</v>
      </c>
      <c r="B2393" s="3" t="s">
        <v>38</v>
      </c>
      <c r="C2393" s="15" t="s">
        <v>47</v>
      </c>
      <c r="D2393" s="15">
        <v>7500</v>
      </c>
      <c r="E2393" s="11">
        <v>150</v>
      </c>
      <c r="F2393" s="3" t="s">
        <v>8</v>
      </c>
      <c r="G2393" s="46">
        <v>100</v>
      </c>
      <c r="H2393" s="3">
        <v>115</v>
      </c>
      <c r="I2393" s="46">
        <v>132.5</v>
      </c>
      <c r="J2393" s="55">
        <v>0</v>
      </c>
      <c r="K2393" s="1">
        <f t="shared" ref="K2393" si="3372">(IF(F2393="SELL",G2393-H2393,IF(F2393="BUY",H2393-G2393)))*E2393</f>
        <v>2250</v>
      </c>
      <c r="L2393" s="51">
        <f t="shared" ref="L2393" si="3373">(IF(F2393="SELL",IF(I2393="",0,H2393-I2393),IF(F2393="BUY",IF(I2393="",0,I2393-H2393))))*E2393</f>
        <v>2625</v>
      </c>
      <c r="M2393" s="52">
        <v>0</v>
      </c>
      <c r="N2393" s="2">
        <f t="shared" si="3358"/>
        <v>32.5</v>
      </c>
      <c r="O2393" s="2">
        <f t="shared" si="3306"/>
        <v>4875</v>
      </c>
      <c r="P2393" s="13"/>
      <c r="Q2393" s="13"/>
      <c r="R2393" s="13"/>
      <c r="S2393" s="13"/>
      <c r="T2393" s="13"/>
      <c r="U2393" s="13"/>
      <c r="V2393" s="13"/>
      <c r="W2393" s="13"/>
      <c r="X2393" s="13"/>
      <c r="Y2393" s="13"/>
      <c r="Z2393" s="13"/>
      <c r="AA2393" s="13"/>
      <c r="AB2393" s="13"/>
      <c r="AC2393" s="13"/>
      <c r="AD2393" s="13"/>
      <c r="AE2393" s="13"/>
      <c r="AF2393" s="13"/>
      <c r="AG2393" s="13"/>
    </row>
    <row r="2394" spans="1:33" s="14" customFormat="1" ht="15" customHeight="1">
      <c r="A2394" s="10">
        <v>42922</v>
      </c>
      <c r="B2394" s="3" t="s">
        <v>83</v>
      </c>
      <c r="C2394" s="15" t="s">
        <v>47</v>
      </c>
      <c r="D2394" s="15">
        <v>23400</v>
      </c>
      <c r="E2394" s="11">
        <v>40</v>
      </c>
      <c r="F2394" s="3" t="s">
        <v>8</v>
      </c>
      <c r="G2394" s="46">
        <v>65</v>
      </c>
      <c r="H2394" s="3">
        <v>80</v>
      </c>
      <c r="I2394" s="46">
        <v>100</v>
      </c>
      <c r="J2394" s="55">
        <v>134</v>
      </c>
      <c r="K2394" s="1">
        <f t="shared" ref="K2394" si="3374">(IF(F2394="SELL",G2394-H2394,IF(F2394="BUY",H2394-G2394)))*E2394</f>
        <v>600</v>
      </c>
      <c r="L2394" s="51">
        <f t="shared" ref="L2394" si="3375">(IF(F2394="SELL",IF(I2394="",0,H2394-I2394),IF(F2394="BUY",IF(I2394="",0,I2394-H2394))))*E2394</f>
        <v>800</v>
      </c>
      <c r="M2394" s="52">
        <f>(IF(F2394="SELL",IF(J2394="",0,I2394-J2394),IF(F2394="BUY",IF(J2394="",0,(J2394-I2394)))))*E2394</f>
        <v>1360</v>
      </c>
      <c r="N2394" s="2">
        <f t="shared" si="3358"/>
        <v>69</v>
      </c>
      <c r="O2394" s="2">
        <f t="shared" si="3306"/>
        <v>2760</v>
      </c>
      <c r="P2394" s="13"/>
      <c r="Q2394" s="13"/>
      <c r="R2394" s="13"/>
      <c r="S2394" s="13"/>
      <c r="T2394" s="13"/>
      <c r="U2394" s="13"/>
      <c r="V2394" s="13"/>
      <c r="W2394" s="13"/>
      <c r="X2394" s="13"/>
      <c r="Y2394" s="13"/>
      <c r="Z2394" s="13"/>
      <c r="AA2394" s="13"/>
      <c r="AB2394" s="13"/>
      <c r="AC2394" s="13"/>
      <c r="AD2394" s="13"/>
      <c r="AE2394" s="13"/>
      <c r="AF2394" s="13"/>
      <c r="AG2394" s="13"/>
    </row>
    <row r="2395" spans="1:33" s="14" customFormat="1" ht="15" customHeight="1">
      <c r="A2395" s="10">
        <v>42922</v>
      </c>
      <c r="B2395" s="3" t="s">
        <v>71</v>
      </c>
      <c r="C2395" s="15" t="s">
        <v>47</v>
      </c>
      <c r="D2395" s="15">
        <v>215</v>
      </c>
      <c r="E2395" s="11">
        <v>3000</v>
      </c>
      <c r="F2395" s="3" t="s">
        <v>8</v>
      </c>
      <c r="G2395" s="46">
        <v>6.5</v>
      </c>
      <c r="H2395" s="3">
        <v>6.5</v>
      </c>
      <c r="I2395" s="46">
        <v>0</v>
      </c>
      <c r="J2395" s="55">
        <v>0</v>
      </c>
      <c r="K2395" s="1">
        <f t="shared" ref="K2395" si="3376">(IF(F2395="SELL",G2395-H2395,IF(F2395="BUY",H2395-G2395)))*E2395</f>
        <v>0</v>
      </c>
      <c r="L2395" s="51">
        <v>0</v>
      </c>
      <c r="M2395" s="52">
        <f>(IF(F2395="SELL",IF(J2395="",0,I2395-J2395),IF(F2395="BUY",IF(J2395="",0,(J2395-I2395)))))*E2395</f>
        <v>0</v>
      </c>
      <c r="N2395" s="2">
        <f t="shared" si="3358"/>
        <v>0</v>
      </c>
      <c r="O2395" s="2">
        <f t="shared" si="3306"/>
        <v>0</v>
      </c>
      <c r="P2395" s="13"/>
      <c r="Q2395" s="13"/>
      <c r="R2395" s="13"/>
      <c r="S2395" s="13"/>
      <c r="T2395" s="13"/>
      <c r="U2395" s="13"/>
      <c r="V2395" s="13"/>
      <c r="W2395" s="13"/>
      <c r="X2395" s="13"/>
      <c r="Y2395" s="13"/>
      <c r="Z2395" s="13"/>
      <c r="AA2395" s="13"/>
      <c r="AB2395" s="13"/>
      <c r="AC2395" s="13"/>
      <c r="AD2395" s="13"/>
      <c r="AE2395" s="13"/>
      <c r="AF2395" s="13"/>
      <c r="AG2395" s="13"/>
    </row>
    <row r="2396" spans="1:33" s="14" customFormat="1" ht="15" customHeight="1">
      <c r="A2396" s="10">
        <v>42921</v>
      </c>
      <c r="B2396" s="3" t="s">
        <v>79</v>
      </c>
      <c r="C2396" s="15" t="s">
        <v>47</v>
      </c>
      <c r="D2396" s="15">
        <v>210</v>
      </c>
      <c r="E2396" s="11">
        <v>3500</v>
      </c>
      <c r="F2396" s="3" t="s">
        <v>8</v>
      </c>
      <c r="G2396" s="46">
        <v>6</v>
      </c>
      <c r="H2396" s="3">
        <v>6</v>
      </c>
      <c r="I2396" s="46">
        <v>0</v>
      </c>
      <c r="J2396" s="55">
        <v>0</v>
      </c>
      <c r="K2396" s="1">
        <f t="shared" ref="K2396" si="3377">(IF(F2396="SELL",G2396-H2396,IF(F2396="BUY",H2396-G2396)))*E2396</f>
        <v>0</v>
      </c>
      <c r="L2396" s="51">
        <v>0</v>
      </c>
      <c r="M2396" s="52">
        <f>(IF(F2396="SELL",IF(J2396="",0,I2396-J2396),IF(F2396="BUY",IF(J2396="",0,(J2396-I2396)))))*E2396</f>
        <v>0</v>
      </c>
      <c r="N2396" s="2">
        <f t="shared" si="3358"/>
        <v>0</v>
      </c>
      <c r="O2396" s="2">
        <f t="shared" si="3306"/>
        <v>0</v>
      </c>
      <c r="P2396" s="13"/>
      <c r="Q2396" s="13"/>
      <c r="R2396" s="13"/>
      <c r="S2396" s="13"/>
      <c r="T2396" s="13"/>
      <c r="U2396" s="13"/>
      <c r="V2396" s="13"/>
      <c r="W2396" s="13"/>
      <c r="X2396" s="13"/>
      <c r="Y2396" s="13"/>
      <c r="Z2396" s="13"/>
      <c r="AA2396" s="13"/>
      <c r="AB2396" s="13"/>
      <c r="AC2396" s="13"/>
      <c r="AD2396" s="13"/>
      <c r="AE2396" s="13"/>
      <c r="AF2396" s="13"/>
      <c r="AG2396" s="13"/>
    </row>
    <row r="2397" spans="1:33" s="14" customFormat="1" ht="15" customHeight="1">
      <c r="A2397" s="10">
        <v>42921</v>
      </c>
      <c r="B2397" s="3" t="s">
        <v>107</v>
      </c>
      <c r="C2397" s="15" t="s">
        <v>47</v>
      </c>
      <c r="D2397" s="15">
        <v>560</v>
      </c>
      <c r="E2397" s="11">
        <v>800</v>
      </c>
      <c r="F2397" s="3" t="s">
        <v>8</v>
      </c>
      <c r="G2397" s="46">
        <v>15</v>
      </c>
      <c r="H2397" s="3">
        <v>15</v>
      </c>
      <c r="I2397" s="46">
        <v>0</v>
      </c>
      <c r="J2397" s="55">
        <v>0</v>
      </c>
      <c r="K2397" s="1">
        <f t="shared" ref="K2397" si="3378">(IF(F2397="SELL",G2397-H2397,IF(F2397="BUY",H2397-G2397)))*E2397</f>
        <v>0</v>
      </c>
      <c r="L2397" s="51">
        <v>0</v>
      </c>
      <c r="M2397" s="52">
        <f>(IF(F2397="SELL",IF(J2397="",0,I2397-J2397),IF(F2397="BUY",IF(J2397="",0,(J2397-I2397)))))*E2397</f>
        <v>0</v>
      </c>
      <c r="N2397" s="2">
        <f t="shared" si="3358"/>
        <v>0</v>
      </c>
      <c r="O2397" s="2">
        <f t="shared" si="3306"/>
        <v>0</v>
      </c>
      <c r="P2397" s="13"/>
      <c r="Q2397" s="13"/>
      <c r="R2397" s="13"/>
      <c r="S2397" s="13"/>
      <c r="T2397" s="13"/>
      <c r="U2397" s="13"/>
      <c r="V2397" s="13"/>
      <c r="W2397" s="13"/>
      <c r="X2397" s="13"/>
      <c r="Y2397" s="13"/>
      <c r="Z2397" s="13"/>
      <c r="AA2397" s="13"/>
      <c r="AB2397" s="13"/>
      <c r="AC2397" s="13"/>
      <c r="AD2397" s="13"/>
      <c r="AE2397" s="13"/>
      <c r="AF2397" s="13"/>
      <c r="AG2397" s="13"/>
    </row>
    <row r="2398" spans="1:33" s="14" customFormat="1" ht="15" customHeight="1">
      <c r="A2398" s="10">
        <v>42921</v>
      </c>
      <c r="B2398" s="3" t="s">
        <v>83</v>
      </c>
      <c r="C2398" s="15" t="s">
        <v>47</v>
      </c>
      <c r="D2398" s="15">
        <v>23300</v>
      </c>
      <c r="E2398" s="11">
        <v>40</v>
      </c>
      <c r="F2398" s="3" t="s">
        <v>8</v>
      </c>
      <c r="G2398" s="46">
        <v>100</v>
      </c>
      <c r="H2398" s="3">
        <v>115</v>
      </c>
      <c r="I2398" s="46">
        <v>135</v>
      </c>
      <c r="J2398" s="55">
        <v>175</v>
      </c>
      <c r="K2398" s="1">
        <f t="shared" ref="K2398" si="3379">(IF(F2398="SELL",G2398-H2398,IF(F2398="BUY",H2398-G2398)))*E2398</f>
        <v>600</v>
      </c>
      <c r="L2398" s="51">
        <f t="shared" ref="L2398" si="3380">(IF(F2398="SELL",IF(I2398="",0,H2398-I2398),IF(F2398="BUY",IF(I2398="",0,I2398-H2398))))*E2398</f>
        <v>800</v>
      </c>
      <c r="M2398" s="52">
        <f>(IF(F2398="SELL",IF(J2398="",0,I2398-J2398),IF(F2398="BUY",IF(J2398="",0,(J2398-I2398)))))*E2398</f>
        <v>1600</v>
      </c>
      <c r="N2398" s="2">
        <f t="shared" si="3358"/>
        <v>75</v>
      </c>
      <c r="O2398" s="2">
        <f t="shared" si="3306"/>
        <v>3000</v>
      </c>
      <c r="P2398" s="13"/>
      <c r="Q2398" s="13"/>
      <c r="R2398" s="13"/>
      <c r="S2398" s="13"/>
      <c r="T2398" s="13"/>
      <c r="U2398" s="13"/>
      <c r="V2398" s="13"/>
      <c r="W2398" s="13"/>
      <c r="X2398" s="13"/>
      <c r="Y2398" s="13"/>
      <c r="Z2398" s="13"/>
      <c r="AA2398" s="13"/>
      <c r="AB2398" s="13"/>
      <c r="AC2398" s="13"/>
      <c r="AD2398" s="13"/>
      <c r="AE2398" s="13"/>
      <c r="AF2398" s="13"/>
      <c r="AG2398" s="13"/>
    </row>
    <row r="2399" spans="1:33" s="14" customFormat="1" ht="15" customHeight="1">
      <c r="A2399" s="10">
        <v>42921</v>
      </c>
      <c r="B2399" s="3" t="s">
        <v>128</v>
      </c>
      <c r="C2399" s="15" t="s">
        <v>46</v>
      </c>
      <c r="D2399" s="15">
        <v>940</v>
      </c>
      <c r="E2399" s="11">
        <v>800</v>
      </c>
      <c r="F2399" s="3" t="s">
        <v>8</v>
      </c>
      <c r="G2399" s="46">
        <v>16</v>
      </c>
      <c r="H2399" s="3">
        <v>16</v>
      </c>
      <c r="I2399" s="46">
        <v>0</v>
      </c>
      <c r="J2399" s="55">
        <v>0</v>
      </c>
      <c r="K2399" s="1">
        <f t="shared" ref="K2399" si="3381">(IF(F2399="SELL",G2399-H2399,IF(F2399="BUY",H2399-G2399)))*E2399</f>
        <v>0</v>
      </c>
      <c r="L2399" s="51">
        <v>0</v>
      </c>
      <c r="M2399" s="52">
        <v>0</v>
      </c>
      <c r="N2399" s="2">
        <f t="shared" si="3358"/>
        <v>0</v>
      </c>
      <c r="O2399" s="2">
        <f t="shared" si="3306"/>
        <v>0</v>
      </c>
      <c r="P2399" s="13"/>
      <c r="Q2399" s="13"/>
      <c r="R2399" s="13"/>
      <c r="S2399" s="13"/>
      <c r="T2399" s="13"/>
      <c r="U2399" s="13"/>
      <c r="V2399" s="13"/>
      <c r="W2399" s="13"/>
      <c r="X2399" s="13"/>
      <c r="Y2399" s="13"/>
      <c r="Z2399" s="13"/>
      <c r="AA2399" s="13"/>
      <c r="AB2399" s="13"/>
      <c r="AC2399" s="13"/>
      <c r="AD2399" s="13"/>
      <c r="AE2399" s="13"/>
      <c r="AF2399" s="13"/>
      <c r="AG2399" s="13"/>
    </row>
    <row r="2400" spans="1:33" s="14" customFormat="1" ht="15" customHeight="1">
      <c r="A2400" s="10">
        <v>42920</v>
      </c>
      <c r="B2400" s="3" t="s">
        <v>19</v>
      </c>
      <c r="C2400" s="15" t="s">
        <v>46</v>
      </c>
      <c r="D2400" s="15">
        <v>1100</v>
      </c>
      <c r="E2400" s="11">
        <v>600</v>
      </c>
      <c r="F2400" s="3" t="s">
        <v>8</v>
      </c>
      <c r="G2400" s="46">
        <v>19.5</v>
      </c>
      <c r="H2400" s="3">
        <v>19.5</v>
      </c>
      <c r="I2400" s="46">
        <v>0</v>
      </c>
      <c r="J2400" s="55">
        <v>0</v>
      </c>
      <c r="K2400" s="1">
        <f t="shared" ref="K2400" si="3382">(IF(F2400="SELL",G2400-H2400,IF(F2400="BUY",H2400-G2400)))*E2400</f>
        <v>0</v>
      </c>
      <c r="L2400" s="51">
        <v>0</v>
      </c>
      <c r="M2400" s="52">
        <v>0</v>
      </c>
      <c r="N2400" s="2">
        <f t="shared" si="3358"/>
        <v>0</v>
      </c>
      <c r="O2400" s="2">
        <f t="shared" ref="O2400:O2463" si="3383">N2400*E2400</f>
        <v>0</v>
      </c>
      <c r="P2400" s="13"/>
      <c r="Q2400" s="13"/>
      <c r="R2400" s="13"/>
      <c r="S2400" s="13"/>
      <c r="T2400" s="13"/>
      <c r="U2400" s="13"/>
      <c r="V2400" s="13"/>
      <c r="W2400" s="13"/>
      <c r="X2400" s="13"/>
      <c r="Y2400" s="13"/>
      <c r="Z2400" s="13"/>
      <c r="AA2400" s="13"/>
      <c r="AB2400" s="13"/>
      <c r="AC2400" s="13"/>
      <c r="AD2400" s="13"/>
      <c r="AE2400" s="13"/>
      <c r="AF2400" s="13"/>
      <c r="AG2400" s="13"/>
    </row>
    <row r="2401" spans="1:33" s="14" customFormat="1" ht="15" customHeight="1">
      <c r="A2401" s="10">
        <v>42920</v>
      </c>
      <c r="B2401" s="3" t="s">
        <v>114</v>
      </c>
      <c r="C2401" s="15" t="s">
        <v>47</v>
      </c>
      <c r="D2401" s="15">
        <v>1480</v>
      </c>
      <c r="E2401" s="11">
        <v>350</v>
      </c>
      <c r="F2401" s="3" t="s">
        <v>8</v>
      </c>
      <c r="G2401" s="46">
        <v>40</v>
      </c>
      <c r="H2401" s="3">
        <v>45</v>
      </c>
      <c r="I2401" s="46">
        <v>0</v>
      </c>
      <c r="J2401" s="55">
        <v>0</v>
      </c>
      <c r="K2401" s="1">
        <f t="shared" ref="K2401" si="3384">(IF(F2401="SELL",G2401-H2401,IF(F2401="BUY",H2401-G2401)))*E2401</f>
        <v>1750</v>
      </c>
      <c r="L2401" s="51">
        <v>0</v>
      </c>
      <c r="M2401" s="52">
        <v>0</v>
      </c>
      <c r="N2401" s="2">
        <f t="shared" si="3358"/>
        <v>5</v>
      </c>
      <c r="O2401" s="2">
        <f t="shared" si="3383"/>
        <v>1750</v>
      </c>
      <c r="P2401" s="13"/>
      <c r="Q2401" s="13"/>
      <c r="R2401" s="13"/>
      <c r="S2401" s="13"/>
      <c r="T2401" s="13"/>
      <c r="U2401" s="13"/>
      <c r="V2401" s="13"/>
      <c r="W2401" s="13"/>
      <c r="X2401" s="13"/>
      <c r="Y2401" s="13"/>
      <c r="Z2401" s="13"/>
      <c r="AA2401" s="13"/>
      <c r="AB2401" s="13"/>
      <c r="AC2401" s="13"/>
      <c r="AD2401" s="13"/>
      <c r="AE2401" s="13"/>
      <c r="AF2401" s="13"/>
      <c r="AG2401" s="13"/>
    </row>
    <row r="2402" spans="1:33" s="14" customFormat="1" ht="15" customHeight="1">
      <c r="A2402" s="10">
        <v>42919</v>
      </c>
      <c r="B2402" s="3" t="s">
        <v>71</v>
      </c>
      <c r="C2402" s="15" t="s">
        <v>47</v>
      </c>
      <c r="D2402" s="15">
        <v>210</v>
      </c>
      <c r="E2402" s="11">
        <v>3000</v>
      </c>
      <c r="F2402" s="3" t="s">
        <v>8</v>
      </c>
      <c r="G2402" s="46">
        <v>22</v>
      </c>
      <c r="H2402" s="3">
        <v>23</v>
      </c>
      <c r="I2402" s="46">
        <v>0</v>
      </c>
      <c r="J2402" s="55">
        <v>0</v>
      </c>
      <c r="K2402" s="1">
        <f t="shared" ref="K2402" si="3385">(IF(F2402="SELL",G2402-H2402,IF(F2402="BUY",H2402-G2402)))*E2402</f>
        <v>3000</v>
      </c>
      <c r="L2402" s="51">
        <v>0</v>
      </c>
      <c r="M2402" s="52">
        <v>0</v>
      </c>
      <c r="N2402" s="2">
        <f t="shared" si="3358"/>
        <v>1</v>
      </c>
      <c r="O2402" s="2">
        <f t="shared" si="3383"/>
        <v>3000</v>
      </c>
      <c r="P2402" s="13"/>
      <c r="Q2402" s="13"/>
      <c r="R2402" s="13"/>
      <c r="S2402" s="13"/>
      <c r="T2402" s="13"/>
      <c r="U2402" s="13"/>
      <c r="V2402" s="13"/>
      <c r="W2402" s="13"/>
      <c r="X2402" s="13"/>
      <c r="Y2402" s="13"/>
      <c r="Z2402" s="13"/>
      <c r="AA2402" s="13"/>
      <c r="AB2402" s="13"/>
      <c r="AC2402" s="13"/>
      <c r="AD2402" s="13"/>
      <c r="AE2402" s="13"/>
      <c r="AF2402" s="13"/>
      <c r="AG2402" s="13"/>
    </row>
    <row r="2403" spans="1:33" s="14" customFormat="1" ht="15" customHeight="1">
      <c r="A2403" s="10">
        <v>42919</v>
      </c>
      <c r="B2403" s="3" t="s">
        <v>127</v>
      </c>
      <c r="C2403" s="15" t="s">
        <v>47</v>
      </c>
      <c r="D2403" s="15">
        <v>660</v>
      </c>
      <c r="E2403" s="11">
        <v>1500</v>
      </c>
      <c r="F2403" s="3" t="s">
        <v>8</v>
      </c>
      <c r="G2403" s="46">
        <v>22</v>
      </c>
      <c r="H2403" s="3">
        <v>23</v>
      </c>
      <c r="I2403" s="46">
        <v>25</v>
      </c>
      <c r="J2403" s="55">
        <v>0</v>
      </c>
      <c r="K2403" s="1">
        <f t="shared" ref="K2403" si="3386">(IF(F2403="SELL",G2403-H2403,IF(F2403="BUY",H2403-G2403)))*E2403</f>
        <v>1500</v>
      </c>
      <c r="L2403" s="51">
        <f t="shared" ref="L2403" si="3387">(IF(F2403="SELL",IF(I2403="",0,H2403-I2403),IF(F2403="BUY",IF(I2403="",0,I2403-H2403))))*E2403</f>
        <v>3000</v>
      </c>
      <c r="M2403" s="52">
        <v>0</v>
      </c>
      <c r="N2403" s="2">
        <f t="shared" si="3358"/>
        <v>3</v>
      </c>
      <c r="O2403" s="2">
        <f t="shared" si="3383"/>
        <v>4500</v>
      </c>
      <c r="P2403" s="13"/>
      <c r="Q2403" s="13"/>
      <c r="R2403" s="13"/>
      <c r="S2403" s="13"/>
      <c r="T2403" s="13"/>
      <c r="U2403" s="13"/>
      <c r="V2403" s="13"/>
      <c r="W2403" s="13"/>
      <c r="X2403" s="13"/>
      <c r="Y2403" s="13"/>
      <c r="Z2403" s="13"/>
      <c r="AA2403" s="13"/>
      <c r="AB2403" s="13"/>
      <c r="AC2403" s="13"/>
      <c r="AD2403" s="13"/>
      <c r="AE2403" s="13"/>
      <c r="AF2403" s="13"/>
      <c r="AG2403" s="13"/>
    </row>
    <row r="2404" spans="1:33" s="14" customFormat="1" ht="15" customHeight="1">
      <c r="A2404" s="10">
        <v>42919</v>
      </c>
      <c r="B2404" s="3" t="s">
        <v>12</v>
      </c>
      <c r="C2404" s="15" t="s">
        <v>47</v>
      </c>
      <c r="D2404" s="15">
        <v>700</v>
      </c>
      <c r="E2404" s="11">
        <v>800</v>
      </c>
      <c r="F2404" s="3" t="s">
        <v>8</v>
      </c>
      <c r="G2404" s="46">
        <v>11</v>
      </c>
      <c r="H2404" s="3">
        <v>13</v>
      </c>
      <c r="I2404" s="46">
        <v>0</v>
      </c>
      <c r="J2404" s="55">
        <v>0</v>
      </c>
      <c r="K2404" s="1">
        <f t="shared" ref="K2404" si="3388">(IF(F2404="SELL",G2404-H2404,IF(F2404="BUY",H2404-G2404)))*E2404</f>
        <v>1600</v>
      </c>
      <c r="L2404" s="51">
        <v>0</v>
      </c>
      <c r="M2404" s="52">
        <v>0</v>
      </c>
      <c r="N2404" s="2">
        <f t="shared" si="3358"/>
        <v>2</v>
      </c>
      <c r="O2404" s="2">
        <f t="shared" si="3383"/>
        <v>1600</v>
      </c>
      <c r="P2404" s="13"/>
      <c r="Q2404" s="13"/>
      <c r="R2404" s="13"/>
      <c r="S2404" s="13"/>
      <c r="T2404" s="13"/>
      <c r="U2404" s="13"/>
      <c r="V2404" s="13"/>
      <c r="W2404" s="13"/>
      <c r="X2404" s="13"/>
      <c r="Y2404" s="13"/>
      <c r="Z2404" s="13"/>
      <c r="AA2404" s="13"/>
      <c r="AB2404" s="13"/>
      <c r="AC2404" s="13"/>
      <c r="AD2404" s="13"/>
      <c r="AE2404" s="13"/>
      <c r="AF2404" s="13"/>
      <c r="AG2404" s="13"/>
    </row>
    <row r="2405" spans="1:33" s="14" customFormat="1" ht="15" customHeight="1">
      <c r="A2405" s="10">
        <v>42919</v>
      </c>
      <c r="B2405" s="3" t="s">
        <v>83</v>
      </c>
      <c r="C2405" s="15" t="s">
        <v>46</v>
      </c>
      <c r="D2405" s="15">
        <v>23000</v>
      </c>
      <c r="E2405" s="11">
        <v>40</v>
      </c>
      <c r="F2405" s="3" t="s">
        <v>8</v>
      </c>
      <c r="G2405" s="46">
        <v>75</v>
      </c>
      <c r="H2405" s="3">
        <v>75</v>
      </c>
      <c r="I2405" s="46">
        <v>0</v>
      </c>
      <c r="J2405" s="55">
        <v>0</v>
      </c>
      <c r="K2405" s="1">
        <f t="shared" ref="K2405" si="3389">(IF(F2405="SELL",G2405-H2405,IF(F2405="BUY",H2405-G2405)))*E2405</f>
        <v>0</v>
      </c>
      <c r="L2405" s="51">
        <v>0</v>
      </c>
      <c r="M2405" s="52">
        <v>0</v>
      </c>
      <c r="N2405" s="2">
        <f t="shared" si="3358"/>
        <v>0</v>
      </c>
      <c r="O2405" s="2">
        <f t="shared" si="3383"/>
        <v>0</v>
      </c>
      <c r="P2405" s="13"/>
      <c r="Q2405" s="13"/>
      <c r="R2405" s="13"/>
      <c r="S2405" s="13"/>
      <c r="T2405" s="13"/>
      <c r="U2405" s="13"/>
      <c r="V2405" s="13"/>
      <c r="W2405" s="13"/>
      <c r="X2405" s="13"/>
      <c r="Y2405" s="13"/>
      <c r="Z2405" s="13"/>
      <c r="AA2405" s="13"/>
      <c r="AB2405" s="13"/>
      <c r="AC2405" s="13"/>
      <c r="AD2405" s="13"/>
      <c r="AE2405" s="13"/>
      <c r="AF2405" s="13"/>
      <c r="AG2405" s="13"/>
    </row>
    <row r="2406" spans="1:33" s="14" customFormat="1" ht="15" customHeight="1">
      <c r="A2406" s="10">
        <v>42919</v>
      </c>
      <c r="B2406" s="3" t="s">
        <v>107</v>
      </c>
      <c r="C2406" s="15" t="s">
        <v>47</v>
      </c>
      <c r="D2406" s="15">
        <v>560</v>
      </c>
      <c r="E2406" s="11">
        <v>800</v>
      </c>
      <c r="F2406" s="3" t="s">
        <v>8</v>
      </c>
      <c r="G2406" s="46">
        <v>3.8</v>
      </c>
      <c r="H2406" s="3">
        <v>4</v>
      </c>
      <c r="I2406" s="46">
        <v>4.5</v>
      </c>
      <c r="J2406" s="55">
        <v>6.1</v>
      </c>
      <c r="K2406" s="1">
        <f t="shared" ref="K2406" si="3390">(IF(F2406="SELL",G2406-H2406,IF(F2406="BUY",H2406-G2406)))*E2406</f>
        <v>160.00000000000014</v>
      </c>
      <c r="L2406" s="51">
        <f t="shared" ref="L2406" si="3391">(IF(F2406="SELL",IF(I2406="",0,H2406-I2406),IF(F2406="BUY",IF(I2406="",0,I2406-H2406))))*E2406</f>
        <v>400</v>
      </c>
      <c r="M2406" s="52">
        <f>(IF(F2406="SELL",IF(J2406="",0,I2406-J2406),IF(F2406="BUY",IF(J2406="",0,(J2406-I2406)))))*E2406</f>
        <v>1279.9999999999998</v>
      </c>
      <c r="N2406" s="2">
        <f t="shared" si="3358"/>
        <v>2.2999999999999998</v>
      </c>
      <c r="O2406" s="2">
        <f t="shared" si="3383"/>
        <v>1839.9999999999998</v>
      </c>
      <c r="P2406" s="13"/>
      <c r="Q2406" s="13"/>
      <c r="R2406" s="13"/>
      <c r="S2406" s="13"/>
      <c r="T2406" s="13"/>
      <c r="U2406" s="13"/>
      <c r="V2406" s="13"/>
      <c r="W2406" s="13"/>
      <c r="X2406" s="13"/>
      <c r="Y2406" s="13"/>
      <c r="Z2406" s="13"/>
      <c r="AA2406" s="13"/>
      <c r="AB2406" s="13"/>
      <c r="AC2406" s="13"/>
      <c r="AD2406" s="13"/>
      <c r="AE2406" s="13"/>
      <c r="AF2406" s="13"/>
      <c r="AG2406" s="13"/>
    </row>
    <row r="2407" spans="1:33" s="14" customFormat="1" ht="15" customHeight="1">
      <c r="A2407" s="10">
        <v>42916</v>
      </c>
      <c r="B2407" s="3" t="s">
        <v>38</v>
      </c>
      <c r="C2407" s="15" t="s">
        <v>46</v>
      </c>
      <c r="D2407" s="15">
        <v>7200</v>
      </c>
      <c r="E2407" s="11">
        <v>150</v>
      </c>
      <c r="F2407" s="3" t="s">
        <v>8</v>
      </c>
      <c r="G2407" s="46">
        <v>8</v>
      </c>
      <c r="H2407" s="3">
        <v>11</v>
      </c>
      <c r="I2407" s="46">
        <v>15</v>
      </c>
      <c r="J2407" s="55">
        <v>0</v>
      </c>
      <c r="K2407" s="1">
        <f t="shared" ref="K2407" si="3392">(IF(F2407="SELL",G2407-H2407,IF(F2407="BUY",H2407-G2407)))*E2407</f>
        <v>450</v>
      </c>
      <c r="L2407" s="51">
        <f t="shared" ref="L2407" si="3393">(IF(F2407="SELL",IF(I2407="",0,H2407-I2407),IF(F2407="BUY",IF(I2407="",0,I2407-H2407))))*E2407</f>
        <v>600</v>
      </c>
      <c r="M2407" s="52">
        <v>0</v>
      </c>
      <c r="N2407" s="2">
        <f t="shared" si="3358"/>
        <v>7</v>
      </c>
      <c r="O2407" s="2">
        <f t="shared" si="3383"/>
        <v>1050</v>
      </c>
      <c r="P2407" s="13"/>
      <c r="Q2407" s="13"/>
      <c r="R2407" s="13"/>
      <c r="S2407" s="13"/>
      <c r="T2407" s="13"/>
      <c r="U2407" s="13"/>
      <c r="V2407" s="13"/>
      <c r="W2407" s="13"/>
      <c r="X2407" s="13"/>
      <c r="Y2407" s="13"/>
      <c r="Z2407" s="13"/>
      <c r="AA2407" s="13"/>
      <c r="AB2407" s="13"/>
      <c r="AC2407" s="13"/>
      <c r="AD2407" s="13"/>
      <c r="AE2407" s="13"/>
      <c r="AF2407" s="13"/>
      <c r="AG2407" s="13"/>
    </row>
    <row r="2408" spans="1:33" s="14" customFormat="1" ht="15" customHeight="1">
      <c r="A2408" s="10">
        <v>42915</v>
      </c>
      <c r="B2408" s="3" t="s">
        <v>38</v>
      </c>
      <c r="C2408" s="15" t="s">
        <v>47</v>
      </c>
      <c r="D2408" s="15">
        <v>7200</v>
      </c>
      <c r="E2408" s="11">
        <v>150</v>
      </c>
      <c r="F2408" s="3" t="s">
        <v>8</v>
      </c>
      <c r="G2408" s="46">
        <v>80</v>
      </c>
      <c r="H2408" s="3">
        <v>100</v>
      </c>
      <c r="I2408" s="46">
        <v>0</v>
      </c>
      <c r="J2408" s="55">
        <v>0</v>
      </c>
      <c r="K2408" s="1">
        <f t="shared" ref="K2408" si="3394">(IF(F2408="SELL",G2408-H2408,IF(F2408="BUY",H2408-G2408)))*E2408</f>
        <v>3000</v>
      </c>
      <c r="L2408" s="51">
        <v>0</v>
      </c>
      <c r="M2408" s="52">
        <v>0</v>
      </c>
      <c r="N2408" s="2">
        <f t="shared" si="3358"/>
        <v>20</v>
      </c>
      <c r="O2408" s="2">
        <f t="shared" si="3383"/>
        <v>3000</v>
      </c>
      <c r="P2408" s="13"/>
      <c r="Q2408" s="13"/>
      <c r="R2408" s="13"/>
      <c r="S2408" s="13"/>
      <c r="T2408" s="13"/>
      <c r="U2408" s="13"/>
      <c r="V2408" s="13"/>
      <c r="W2408" s="13"/>
      <c r="X2408" s="13"/>
      <c r="Y2408" s="13"/>
      <c r="Z2408" s="13"/>
      <c r="AA2408" s="13"/>
      <c r="AB2408" s="13"/>
      <c r="AC2408" s="13"/>
      <c r="AD2408" s="13"/>
      <c r="AE2408" s="13"/>
      <c r="AF2408" s="13"/>
      <c r="AG2408" s="13"/>
    </row>
    <row r="2409" spans="1:33" s="14" customFormat="1" ht="15" customHeight="1">
      <c r="A2409" s="10">
        <v>42914</v>
      </c>
      <c r="B2409" s="3" t="s">
        <v>83</v>
      </c>
      <c r="C2409" s="15" t="s">
        <v>46</v>
      </c>
      <c r="D2409" s="15">
        <v>23000</v>
      </c>
      <c r="E2409" s="11">
        <v>150</v>
      </c>
      <c r="F2409" s="3" t="s">
        <v>8</v>
      </c>
      <c r="G2409" s="46">
        <v>58</v>
      </c>
      <c r="H2409" s="3">
        <v>75</v>
      </c>
      <c r="I2409" s="46">
        <v>100</v>
      </c>
      <c r="J2409" s="55">
        <v>0</v>
      </c>
      <c r="K2409" s="1">
        <f t="shared" ref="K2409" si="3395">(IF(F2409="SELL",G2409-H2409,IF(F2409="BUY",H2409-G2409)))*E2409</f>
        <v>2550</v>
      </c>
      <c r="L2409" s="51">
        <f t="shared" ref="L2409" si="3396">(IF(F2409="SELL",IF(I2409="",0,H2409-I2409),IF(F2409="BUY",IF(I2409="",0,I2409-H2409))))*E2409</f>
        <v>3750</v>
      </c>
      <c r="M2409" s="52">
        <v>0</v>
      </c>
      <c r="N2409" s="2">
        <f t="shared" si="3358"/>
        <v>42</v>
      </c>
      <c r="O2409" s="2">
        <f t="shared" si="3383"/>
        <v>6300</v>
      </c>
      <c r="P2409" s="13"/>
      <c r="Q2409" s="13"/>
      <c r="R2409" s="13"/>
      <c r="S2409" s="13"/>
      <c r="T2409" s="13"/>
      <c r="U2409" s="13"/>
      <c r="V2409" s="13"/>
      <c r="W2409" s="13"/>
      <c r="X2409" s="13"/>
      <c r="Y2409" s="13"/>
      <c r="Z2409" s="13"/>
      <c r="AA2409" s="13"/>
      <c r="AB2409" s="13"/>
      <c r="AC2409" s="13"/>
      <c r="AD2409" s="13"/>
      <c r="AE2409" s="13"/>
      <c r="AF2409" s="13"/>
      <c r="AG2409" s="13"/>
    </row>
    <row r="2410" spans="1:33" s="14" customFormat="1" ht="15" customHeight="1">
      <c r="A2410" s="10">
        <v>42908</v>
      </c>
      <c r="B2410" s="3" t="s">
        <v>38</v>
      </c>
      <c r="C2410" s="15" t="s">
        <v>47</v>
      </c>
      <c r="D2410" s="15">
        <v>7300</v>
      </c>
      <c r="E2410" s="11">
        <v>150</v>
      </c>
      <c r="F2410" s="3" t="s">
        <v>8</v>
      </c>
      <c r="G2410" s="46">
        <v>90</v>
      </c>
      <c r="H2410" s="3">
        <v>100</v>
      </c>
      <c r="I2410" s="46">
        <v>0</v>
      </c>
      <c r="J2410" s="55">
        <v>0</v>
      </c>
      <c r="K2410" s="1">
        <f t="shared" ref="K2410" si="3397">(IF(F2410="SELL",G2410-H2410,IF(F2410="BUY",H2410-G2410)))*E2410</f>
        <v>1500</v>
      </c>
      <c r="L2410" s="51">
        <v>0</v>
      </c>
      <c r="M2410" s="52">
        <f>(IF(F2410="SELL",IF(J2410="",0,I2410-J2410),IF(F2410="BUY",IF(J2410="",0,(J2410-I2410)))))*E2410</f>
        <v>0</v>
      </c>
      <c r="N2410" s="2">
        <f t="shared" si="3358"/>
        <v>10</v>
      </c>
      <c r="O2410" s="2">
        <f t="shared" si="3383"/>
        <v>1500</v>
      </c>
      <c r="P2410" s="13"/>
      <c r="Q2410" s="13"/>
      <c r="R2410" s="13"/>
      <c r="S2410" s="13"/>
      <c r="T2410" s="13"/>
      <c r="U2410" s="13"/>
      <c r="V2410" s="13"/>
      <c r="W2410" s="13"/>
      <c r="X2410" s="13"/>
      <c r="Y2410" s="13"/>
      <c r="Z2410" s="13"/>
      <c r="AA2410" s="13"/>
      <c r="AB2410" s="13"/>
      <c r="AC2410" s="13"/>
      <c r="AD2410" s="13"/>
      <c r="AE2410" s="13"/>
      <c r="AF2410" s="13"/>
      <c r="AG2410" s="13"/>
    </row>
    <row r="2411" spans="1:33" s="14" customFormat="1" ht="15" customHeight="1">
      <c r="A2411" s="10">
        <v>42908</v>
      </c>
      <c r="B2411" s="3" t="s">
        <v>38</v>
      </c>
      <c r="C2411" s="15" t="s">
        <v>46</v>
      </c>
      <c r="D2411" s="15">
        <v>7200</v>
      </c>
      <c r="E2411" s="11">
        <v>150</v>
      </c>
      <c r="F2411" s="3" t="s">
        <v>8</v>
      </c>
      <c r="G2411" s="46">
        <v>65</v>
      </c>
      <c r="H2411" s="3">
        <v>49</v>
      </c>
      <c r="I2411" s="46">
        <v>0</v>
      </c>
      <c r="J2411" s="55">
        <v>0</v>
      </c>
      <c r="K2411" s="1">
        <f t="shared" ref="K2411" si="3398">(IF(F2411="SELL",G2411-H2411,IF(F2411="BUY",H2411-G2411)))*E2411</f>
        <v>-2400</v>
      </c>
      <c r="L2411" s="51">
        <v>0</v>
      </c>
      <c r="M2411" s="52">
        <v>0</v>
      </c>
      <c r="N2411" s="2">
        <f t="shared" si="3358"/>
        <v>-16</v>
      </c>
      <c r="O2411" s="2">
        <f t="shared" si="3383"/>
        <v>-2400</v>
      </c>
      <c r="P2411" s="13"/>
      <c r="Q2411" s="13"/>
      <c r="R2411" s="13"/>
      <c r="S2411" s="13"/>
      <c r="T2411" s="13"/>
      <c r="U2411" s="13"/>
      <c r="V2411" s="13"/>
      <c r="W2411" s="13"/>
      <c r="X2411" s="13"/>
      <c r="Y2411" s="13"/>
      <c r="Z2411" s="13"/>
      <c r="AA2411" s="13"/>
      <c r="AB2411" s="13"/>
      <c r="AC2411" s="13"/>
      <c r="AD2411" s="13"/>
      <c r="AE2411" s="13"/>
      <c r="AF2411" s="13"/>
      <c r="AG2411" s="13"/>
    </row>
    <row r="2412" spans="1:33" s="14" customFormat="1" ht="15" customHeight="1">
      <c r="A2412" s="10">
        <v>42907</v>
      </c>
      <c r="B2412" s="3" t="s">
        <v>125</v>
      </c>
      <c r="C2412" s="15" t="s">
        <v>47</v>
      </c>
      <c r="D2412" s="15">
        <v>80</v>
      </c>
      <c r="E2412" s="11">
        <v>9000</v>
      </c>
      <c r="F2412" s="3" t="s">
        <v>8</v>
      </c>
      <c r="G2412" s="46">
        <v>1.7</v>
      </c>
      <c r="H2412" s="3">
        <v>2</v>
      </c>
      <c r="I2412" s="46">
        <v>2.25</v>
      </c>
      <c r="J2412" s="55">
        <v>3</v>
      </c>
      <c r="K2412" s="1">
        <f t="shared" ref="K2412" si="3399">(IF(F2412="SELL",G2412-H2412,IF(F2412="BUY",H2412-G2412)))*E2412</f>
        <v>2700.0000000000005</v>
      </c>
      <c r="L2412" s="51">
        <f t="shared" ref="L2412" si="3400">(IF(F2412="SELL",IF(I2412="",0,H2412-I2412),IF(F2412="BUY",IF(I2412="",0,I2412-H2412))))*E2412</f>
        <v>2250</v>
      </c>
      <c r="M2412" s="52">
        <f>(IF(F2412="SELL",IF(J2412="",0,I2412-J2412),IF(F2412="BUY",IF(J2412="",0,(J2412-I2412)))))*E2412</f>
        <v>6750</v>
      </c>
      <c r="N2412" s="2">
        <f t="shared" si="3358"/>
        <v>1.3</v>
      </c>
      <c r="O2412" s="2">
        <f t="shared" si="3383"/>
        <v>11700</v>
      </c>
      <c r="P2412" s="13"/>
      <c r="Q2412" s="13"/>
      <c r="R2412" s="13"/>
      <c r="S2412" s="13"/>
      <c r="T2412" s="13"/>
      <c r="U2412" s="13"/>
      <c r="V2412" s="13"/>
      <c r="W2412" s="13"/>
      <c r="X2412" s="13"/>
      <c r="Y2412" s="13"/>
      <c r="Z2412" s="13"/>
      <c r="AA2412" s="13"/>
      <c r="AB2412" s="13"/>
      <c r="AC2412" s="13"/>
      <c r="AD2412" s="13"/>
      <c r="AE2412" s="13"/>
      <c r="AF2412" s="13"/>
      <c r="AG2412" s="13"/>
    </row>
    <row r="2413" spans="1:33" s="14" customFormat="1" ht="15" customHeight="1">
      <c r="A2413" s="10">
        <v>42906</v>
      </c>
      <c r="B2413" s="3" t="s">
        <v>38</v>
      </c>
      <c r="C2413" s="15" t="s">
        <v>47</v>
      </c>
      <c r="D2413" s="15">
        <v>7200</v>
      </c>
      <c r="E2413" s="11">
        <v>150</v>
      </c>
      <c r="F2413" s="3" t="s">
        <v>8</v>
      </c>
      <c r="G2413" s="46">
        <v>52</v>
      </c>
      <c r="H2413" s="3">
        <v>52</v>
      </c>
      <c r="I2413" s="46">
        <v>0</v>
      </c>
      <c r="J2413" s="55">
        <v>0</v>
      </c>
      <c r="K2413" s="1">
        <f t="shared" ref="K2413" si="3401">(IF(F2413="SELL",G2413-H2413,IF(F2413="BUY",H2413-G2413)))*E2413</f>
        <v>0</v>
      </c>
      <c r="L2413" s="51">
        <v>0</v>
      </c>
      <c r="M2413" s="52">
        <v>0</v>
      </c>
      <c r="N2413" s="2">
        <f t="shared" si="3358"/>
        <v>0</v>
      </c>
      <c r="O2413" s="2">
        <f t="shared" si="3383"/>
        <v>0</v>
      </c>
      <c r="P2413" s="13"/>
      <c r="Q2413" s="13"/>
      <c r="R2413" s="13"/>
      <c r="S2413" s="13"/>
      <c r="T2413" s="13"/>
      <c r="U2413" s="13"/>
      <c r="V2413" s="13"/>
      <c r="W2413" s="13"/>
      <c r="X2413" s="13"/>
      <c r="Y2413" s="13"/>
      <c r="Z2413" s="13"/>
      <c r="AA2413" s="13"/>
      <c r="AB2413" s="13"/>
      <c r="AC2413" s="13"/>
      <c r="AD2413" s="13"/>
      <c r="AE2413" s="13"/>
      <c r="AF2413" s="13"/>
      <c r="AG2413" s="13"/>
    </row>
    <row r="2414" spans="1:33" s="14" customFormat="1" ht="15" customHeight="1">
      <c r="A2414" s="10">
        <v>42901</v>
      </c>
      <c r="B2414" s="3" t="s">
        <v>76</v>
      </c>
      <c r="C2414" s="15" t="s">
        <v>47</v>
      </c>
      <c r="D2414" s="15">
        <v>9600</v>
      </c>
      <c r="E2414" s="11">
        <v>75</v>
      </c>
      <c r="F2414" s="3" t="s">
        <v>8</v>
      </c>
      <c r="G2414" s="46">
        <v>75</v>
      </c>
      <c r="H2414" s="3">
        <v>75</v>
      </c>
      <c r="I2414" s="46">
        <v>0</v>
      </c>
      <c r="J2414" s="55">
        <v>0</v>
      </c>
      <c r="K2414" s="1">
        <f t="shared" ref="K2414" si="3402">(IF(F2414="SELL",G2414-H2414,IF(F2414="BUY",H2414-G2414)))*E2414</f>
        <v>0</v>
      </c>
      <c r="L2414" s="51">
        <v>0</v>
      </c>
      <c r="M2414" s="52">
        <f>(IF(F2414="SELL",IF(J2414="",0,I2414-J2414),IF(F2414="BUY",IF(J2414="",0,(J2414-I2414)))))*E2414</f>
        <v>0</v>
      </c>
      <c r="N2414" s="2">
        <f t="shared" si="3358"/>
        <v>0</v>
      </c>
      <c r="O2414" s="2">
        <f t="shared" si="3383"/>
        <v>0</v>
      </c>
      <c r="P2414" s="13"/>
      <c r="Q2414" s="13"/>
      <c r="R2414" s="13"/>
      <c r="S2414" s="13"/>
      <c r="T2414" s="13"/>
      <c r="U2414" s="13"/>
      <c r="V2414" s="13"/>
      <c r="W2414" s="13"/>
      <c r="X2414" s="13"/>
      <c r="Y2414" s="13"/>
      <c r="Z2414" s="13"/>
      <c r="AA2414" s="13"/>
      <c r="AB2414" s="13"/>
      <c r="AC2414" s="13"/>
      <c r="AD2414" s="13"/>
      <c r="AE2414" s="13"/>
      <c r="AF2414" s="13"/>
      <c r="AG2414" s="13"/>
    </row>
    <row r="2415" spans="1:33" s="14" customFormat="1" ht="15" customHeight="1">
      <c r="A2415" s="10">
        <v>42901</v>
      </c>
      <c r="B2415" s="3" t="s">
        <v>38</v>
      </c>
      <c r="C2415" s="15" t="s">
        <v>47</v>
      </c>
      <c r="D2415" s="15">
        <v>7400</v>
      </c>
      <c r="E2415" s="11">
        <v>150</v>
      </c>
      <c r="F2415" s="3" t="s">
        <v>8</v>
      </c>
      <c r="G2415" s="46">
        <v>115</v>
      </c>
      <c r="H2415" s="3">
        <v>125</v>
      </c>
      <c r="I2415" s="46">
        <v>135</v>
      </c>
      <c r="J2415" s="55">
        <v>150</v>
      </c>
      <c r="K2415" s="1">
        <f t="shared" ref="K2415" si="3403">(IF(F2415="SELL",G2415-H2415,IF(F2415="BUY",H2415-G2415)))*E2415</f>
        <v>1500</v>
      </c>
      <c r="L2415" s="51">
        <f t="shared" ref="L2415" si="3404">(IF(F2415="SELL",IF(I2415="",0,H2415-I2415),IF(F2415="BUY",IF(I2415="",0,I2415-H2415))))*E2415</f>
        <v>1500</v>
      </c>
      <c r="M2415" s="52">
        <f>(IF(F2415="SELL",IF(J2415="",0,I2415-J2415),IF(F2415="BUY",IF(J2415="",0,(J2415-I2415)))))*E2415</f>
        <v>2250</v>
      </c>
      <c r="N2415" s="2">
        <f t="shared" si="3358"/>
        <v>35</v>
      </c>
      <c r="O2415" s="2">
        <f t="shared" si="3383"/>
        <v>5250</v>
      </c>
      <c r="P2415" s="13"/>
      <c r="Q2415" s="13"/>
      <c r="R2415" s="13"/>
      <c r="S2415" s="13"/>
      <c r="T2415" s="13"/>
      <c r="U2415" s="13"/>
      <c r="V2415" s="13"/>
      <c r="W2415" s="13"/>
      <c r="X2415" s="13"/>
      <c r="Y2415" s="13"/>
      <c r="Z2415" s="13"/>
      <c r="AA2415" s="13"/>
      <c r="AB2415" s="13"/>
      <c r="AC2415" s="13"/>
      <c r="AD2415" s="13"/>
      <c r="AE2415" s="13"/>
      <c r="AF2415" s="13"/>
      <c r="AG2415" s="13"/>
    </row>
    <row r="2416" spans="1:33" s="14" customFormat="1" ht="15" customHeight="1">
      <c r="A2416" s="10">
        <v>42895</v>
      </c>
      <c r="B2416" s="3" t="s">
        <v>76</v>
      </c>
      <c r="C2416" s="15" t="s">
        <v>47</v>
      </c>
      <c r="D2416" s="15">
        <v>9500</v>
      </c>
      <c r="E2416" s="11">
        <v>75</v>
      </c>
      <c r="F2416" s="3" t="s">
        <v>8</v>
      </c>
      <c r="G2416" s="46">
        <v>40</v>
      </c>
      <c r="H2416" s="3">
        <v>40</v>
      </c>
      <c r="I2416" s="46">
        <v>0</v>
      </c>
      <c r="J2416" s="55">
        <v>0</v>
      </c>
      <c r="K2416" s="1">
        <f t="shared" ref="K2416" si="3405">(IF(F2416="SELL",G2416-H2416,IF(F2416="BUY",H2416-G2416)))*E2416</f>
        <v>0</v>
      </c>
      <c r="L2416" s="51">
        <v>0</v>
      </c>
      <c r="M2416" s="52">
        <f>(IF(F2416="SELL",IF(J2416="",0,I2416-J2416),IF(F2416="BUY",IF(J2416="",0,(J2416-I2416)))))*E2416</f>
        <v>0</v>
      </c>
      <c r="N2416" s="2">
        <f t="shared" si="3358"/>
        <v>0</v>
      </c>
      <c r="O2416" s="2">
        <f t="shared" si="3383"/>
        <v>0</v>
      </c>
      <c r="P2416" s="13"/>
      <c r="Q2416" s="13"/>
      <c r="R2416" s="13"/>
      <c r="S2416" s="13"/>
      <c r="T2416" s="13"/>
      <c r="U2416" s="13"/>
      <c r="V2416" s="13"/>
      <c r="W2416" s="13"/>
      <c r="X2416" s="13"/>
      <c r="Y2416" s="13"/>
      <c r="Z2416" s="13"/>
      <c r="AA2416" s="13"/>
      <c r="AB2416" s="13"/>
      <c r="AC2416" s="13"/>
      <c r="AD2416" s="13"/>
      <c r="AE2416" s="13"/>
      <c r="AF2416" s="13"/>
      <c r="AG2416" s="13"/>
    </row>
    <row r="2417" spans="1:33" s="14" customFormat="1" ht="15" customHeight="1">
      <c r="A2417" s="10">
        <v>42895</v>
      </c>
      <c r="B2417" s="3" t="s">
        <v>123</v>
      </c>
      <c r="C2417" s="15" t="s">
        <v>47</v>
      </c>
      <c r="D2417" s="15">
        <v>540</v>
      </c>
      <c r="E2417" s="11">
        <v>1600</v>
      </c>
      <c r="F2417" s="3" t="s">
        <v>8</v>
      </c>
      <c r="G2417" s="46">
        <v>20</v>
      </c>
      <c r="H2417" s="3">
        <v>22</v>
      </c>
      <c r="I2417" s="46">
        <v>0</v>
      </c>
      <c r="J2417" s="55">
        <v>0</v>
      </c>
      <c r="K2417" s="1">
        <f t="shared" ref="K2417" si="3406">(IF(F2417="SELL",G2417-H2417,IF(F2417="BUY",H2417-G2417)))*E2417</f>
        <v>3200</v>
      </c>
      <c r="L2417" s="51">
        <v>0</v>
      </c>
      <c r="M2417" s="52">
        <f>(IF(F2417="SELL",IF(J2417="",0,I2417-J2417),IF(F2417="BUY",IF(J2417="",0,(J2417-I2417)))))*E2417</f>
        <v>0</v>
      </c>
      <c r="N2417" s="2">
        <f t="shared" si="3358"/>
        <v>2</v>
      </c>
      <c r="O2417" s="2">
        <f t="shared" si="3383"/>
        <v>3200</v>
      </c>
      <c r="P2417" s="13"/>
      <c r="Q2417" s="13"/>
      <c r="R2417" s="13"/>
      <c r="S2417" s="13"/>
      <c r="T2417" s="13"/>
      <c r="U2417" s="13"/>
      <c r="V2417" s="13"/>
      <c r="W2417" s="13"/>
      <c r="X2417" s="13"/>
      <c r="Y2417" s="13"/>
      <c r="Z2417" s="13"/>
      <c r="AA2417" s="13"/>
      <c r="AB2417" s="13"/>
      <c r="AC2417" s="13"/>
      <c r="AD2417" s="13"/>
      <c r="AE2417" s="13"/>
      <c r="AF2417" s="13"/>
      <c r="AG2417" s="13"/>
    </row>
    <row r="2418" spans="1:33" s="5" customFormat="1" ht="15" customHeight="1">
      <c r="A2418" s="10">
        <v>42893</v>
      </c>
      <c r="B2418" s="3" t="s">
        <v>114</v>
      </c>
      <c r="C2418" s="15" t="s">
        <v>47</v>
      </c>
      <c r="D2418" s="15">
        <v>1520</v>
      </c>
      <c r="E2418" s="11">
        <v>350</v>
      </c>
      <c r="F2418" s="3" t="s">
        <v>8</v>
      </c>
      <c r="G2418" s="46">
        <v>37</v>
      </c>
      <c r="H2418" s="3">
        <v>40</v>
      </c>
      <c r="I2418" s="46">
        <v>44.9</v>
      </c>
      <c r="J2418" s="55">
        <v>0</v>
      </c>
      <c r="K2418" s="1">
        <f t="shared" ref="K2418" si="3407">(IF(F2418="SELL",G2418-H2418,IF(F2418="BUY",H2418-G2418)))*E2418</f>
        <v>1050</v>
      </c>
      <c r="L2418" s="51">
        <f t="shared" ref="L2418" si="3408">(IF(F2418="SELL",IF(I2418="",0,H2418-I2418),IF(F2418="BUY",IF(I2418="",0,I2418-H2418))))*E2418</f>
        <v>1714.9999999999995</v>
      </c>
      <c r="M2418" s="52">
        <v>0</v>
      </c>
      <c r="N2418" s="2">
        <f t="shared" si="3358"/>
        <v>7.8999999999999986</v>
      </c>
      <c r="O2418" s="2">
        <f t="shared" si="3383"/>
        <v>2764.9999999999995</v>
      </c>
      <c r="P2418" s="25"/>
      <c r="Q2418" s="25"/>
      <c r="R2418" s="25"/>
      <c r="S2418" s="25"/>
      <c r="T2418" s="25"/>
      <c r="U2418" s="25"/>
      <c r="V2418" s="25"/>
      <c r="W2418" s="25"/>
      <c r="X2418" s="25"/>
      <c r="Y2418" s="25"/>
      <c r="Z2418" s="25"/>
      <c r="AA2418" s="25"/>
      <c r="AB2418" s="25"/>
      <c r="AC2418" s="25"/>
      <c r="AD2418" s="25"/>
      <c r="AE2418" s="25"/>
      <c r="AF2418" s="25"/>
      <c r="AG2418" s="25"/>
    </row>
    <row r="2419" spans="1:33" s="14" customFormat="1" ht="15" customHeight="1">
      <c r="A2419" s="10">
        <v>42891</v>
      </c>
      <c r="B2419" s="3" t="s">
        <v>120</v>
      </c>
      <c r="C2419" s="15" t="s">
        <v>47</v>
      </c>
      <c r="D2419" s="15">
        <v>20</v>
      </c>
      <c r="E2419" s="11">
        <v>45000</v>
      </c>
      <c r="F2419" s="3" t="s">
        <v>8</v>
      </c>
      <c r="G2419" s="46">
        <v>1</v>
      </c>
      <c r="H2419" s="3">
        <v>1</v>
      </c>
      <c r="I2419" s="46">
        <v>0</v>
      </c>
      <c r="J2419" s="55">
        <v>0</v>
      </c>
      <c r="K2419" s="1">
        <f t="shared" ref="K2419" si="3409">(IF(F2419="SELL",G2419-H2419,IF(F2419="BUY",H2419-G2419)))*E2419</f>
        <v>0</v>
      </c>
      <c r="L2419" s="51">
        <v>0</v>
      </c>
      <c r="M2419" s="52">
        <v>0</v>
      </c>
      <c r="N2419" s="2">
        <f t="shared" si="3358"/>
        <v>0</v>
      </c>
      <c r="O2419" s="2">
        <f t="shared" si="3383"/>
        <v>0</v>
      </c>
      <c r="P2419" s="13"/>
      <c r="Q2419" s="13"/>
      <c r="R2419" s="13"/>
      <c r="S2419" s="13"/>
      <c r="T2419" s="13"/>
      <c r="U2419" s="13"/>
      <c r="V2419" s="13"/>
      <c r="W2419" s="13"/>
      <c r="X2419" s="13"/>
      <c r="Y2419" s="13"/>
      <c r="Z2419" s="13"/>
      <c r="AA2419" s="13"/>
      <c r="AB2419" s="13"/>
      <c r="AC2419" s="13"/>
      <c r="AD2419" s="13"/>
      <c r="AE2419" s="13"/>
      <c r="AF2419" s="13"/>
      <c r="AG2419" s="13"/>
    </row>
    <row r="2420" spans="1:33" s="14" customFormat="1" ht="15" customHeight="1">
      <c r="A2420" s="10">
        <v>42888</v>
      </c>
      <c r="B2420" s="3" t="s">
        <v>28</v>
      </c>
      <c r="C2420" s="15" t="s">
        <v>47</v>
      </c>
      <c r="D2420" s="15">
        <v>380</v>
      </c>
      <c r="E2420" s="11">
        <v>1700</v>
      </c>
      <c r="F2420" s="3" t="s">
        <v>8</v>
      </c>
      <c r="G2420" s="46">
        <v>9</v>
      </c>
      <c r="H2420" s="3">
        <v>11</v>
      </c>
      <c r="I2420" s="46">
        <v>0</v>
      </c>
      <c r="J2420" s="55">
        <v>0</v>
      </c>
      <c r="K2420" s="1">
        <f t="shared" ref="K2420" si="3410">(IF(F2420="SELL",G2420-H2420,IF(F2420="BUY",H2420-G2420)))*E2420</f>
        <v>3400</v>
      </c>
      <c r="L2420" s="51">
        <v>0</v>
      </c>
      <c r="M2420" s="52">
        <f t="shared" ref="M2420:M2425" si="3411">(IF(F2420="SELL",IF(J2420="",0,I2420-J2420),IF(F2420="BUY",IF(J2420="",0,(J2420-I2420)))))*E2420</f>
        <v>0</v>
      </c>
      <c r="N2420" s="2">
        <f t="shared" si="3358"/>
        <v>2</v>
      </c>
      <c r="O2420" s="2">
        <f t="shared" si="3383"/>
        <v>3400</v>
      </c>
      <c r="P2420" s="13"/>
      <c r="Q2420" s="13"/>
      <c r="R2420" s="13"/>
      <c r="S2420" s="13"/>
      <c r="T2420" s="13"/>
      <c r="U2420" s="13"/>
      <c r="V2420" s="13"/>
      <c r="W2420" s="13"/>
      <c r="X2420" s="13"/>
      <c r="Y2420" s="13"/>
      <c r="Z2420" s="13"/>
      <c r="AA2420" s="13"/>
      <c r="AB2420" s="13"/>
      <c r="AC2420" s="13"/>
      <c r="AD2420" s="13"/>
      <c r="AE2420" s="13"/>
      <c r="AF2420" s="13"/>
      <c r="AG2420" s="13"/>
    </row>
    <row r="2421" spans="1:33" s="14" customFormat="1" ht="15" customHeight="1">
      <c r="A2421" s="10">
        <v>42888</v>
      </c>
      <c r="B2421" s="3" t="s">
        <v>119</v>
      </c>
      <c r="C2421" s="15" t="s">
        <v>47</v>
      </c>
      <c r="D2421" s="15">
        <v>560</v>
      </c>
      <c r="E2421" s="11">
        <v>1100</v>
      </c>
      <c r="F2421" s="3" t="s">
        <v>8</v>
      </c>
      <c r="G2421" s="46">
        <v>20</v>
      </c>
      <c r="H2421" s="3">
        <v>22</v>
      </c>
      <c r="I2421" s="46">
        <v>0</v>
      </c>
      <c r="J2421" s="55">
        <v>0</v>
      </c>
      <c r="K2421" s="1">
        <f t="shared" ref="K2421" si="3412">(IF(F2421="SELL",G2421-H2421,IF(F2421="BUY",H2421-G2421)))*E2421</f>
        <v>2200</v>
      </c>
      <c r="L2421" s="51">
        <v>0</v>
      </c>
      <c r="M2421" s="52">
        <f t="shared" si="3411"/>
        <v>0</v>
      </c>
      <c r="N2421" s="2">
        <f t="shared" si="3358"/>
        <v>2</v>
      </c>
      <c r="O2421" s="2">
        <f t="shared" si="3383"/>
        <v>2200</v>
      </c>
      <c r="P2421" s="13"/>
      <c r="Q2421" s="13"/>
      <c r="R2421" s="13"/>
      <c r="S2421" s="13"/>
      <c r="T2421" s="13"/>
      <c r="U2421" s="13"/>
      <c r="V2421" s="13"/>
      <c r="W2421" s="13"/>
      <c r="X2421" s="13"/>
      <c r="Y2421" s="13"/>
      <c r="Z2421" s="13"/>
      <c r="AA2421" s="13"/>
      <c r="AB2421" s="13"/>
      <c r="AC2421" s="13"/>
      <c r="AD2421" s="13"/>
      <c r="AE2421" s="13"/>
      <c r="AF2421" s="13"/>
      <c r="AG2421" s="13"/>
    </row>
    <row r="2422" spans="1:33" s="14" customFormat="1" ht="15" customHeight="1">
      <c r="A2422" s="10">
        <v>42885</v>
      </c>
      <c r="B2422" s="3" t="s">
        <v>58</v>
      </c>
      <c r="C2422" s="15" t="s">
        <v>47</v>
      </c>
      <c r="D2422" s="15">
        <v>450</v>
      </c>
      <c r="E2422" s="11">
        <v>2000</v>
      </c>
      <c r="F2422" s="3" t="s">
        <v>8</v>
      </c>
      <c r="G2422" s="46">
        <v>5</v>
      </c>
      <c r="H2422" s="3">
        <v>6</v>
      </c>
      <c r="I2422" s="46">
        <v>0</v>
      </c>
      <c r="J2422" s="55">
        <v>0</v>
      </c>
      <c r="K2422" s="1">
        <f t="shared" ref="K2422" si="3413">(IF(F2422="SELL",G2422-H2422,IF(F2422="BUY",H2422-G2422)))*E2422</f>
        <v>2000</v>
      </c>
      <c r="L2422" s="51">
        <v>0</v>
      </c>
      <c r="M2422" s="52">
        <f t="shared" si="3411"/>
        <v>0</v>
      </c>
      <c r="N2422" s="2">
        <f t="shared" si="3358"/>
        <v>1</v>
      </c>
      <c r="O2422" s="2">
        <f t="shared" si="3383"/>
        <v>2000</v>
      </c>
      <c r="P2422" s="13"/>
      <c r="Q2422" s="13"/>
      <c r="R2422" s="13"/>
      <c r="S2422" s="13"/>
      <c r="T2422" s="13"/>
      <c r="U2422" s="13"/>
      <c r="V2422" s="13"/>
      <c r="W2422" s="13"/>
      <c r="X2422" s="13"/>
      <c r="Y2422" s="13"/>
      <c r="Z2422" s="13"/>
      <c r="AA2422" s="13"/>
      <c r="AB2422" s="13"/>
      <c r="AC2422" s="13"/>
      <c r="AD2422" s="13"/>
      <c r="AE2422" s="13"/>
      <c r="AF2422" s="13"/>
      <c r="AG2422" s="13"/>
    </row>
    <row r="2423" spans="1:33" s="14" customFormat="1" ht="15" customHeight="1">
      <c r="A2423" s="10">
        <v>42879</v>
      </c>
      <c r="B2423" s="3" t="s">
        <v>107</v>
      </c>
      <c r="C2423" s="15" t="s">
        <v>47</v>
      </c>
      <c r="D2423" s="15">
        <v>620</v>
      </c>
      <c r="E2423" s="11">
        <v>800</v>
      </c>
      <c r="F2423" s="3" t="s">
        <v>8</v>
      </c>
      <c r="G2423" s="46">
        <v>3.8</v>
      </c>
      <c r="H2423" s="3">
        <v>4</v>
      </c>
      <c r="I2423" s="46">
        <v>4.5</v>
      </c>
      <c r="J2423" s="55">
        <v>6.1</v>
      </c>
      <c r="K2423" s="1">
        <f t="shared" ref="K2423" si="3414">(IF(F2423="SELL",G2423-H2423,IF(F2423="BUY",H2423-G2423)))*E2423</f>
        <v>160.00000000000014</v>
      </c>
      <c r="L2423" s="51">
        <f t="shared" ref="L2423:L2424" si="3415">(IF(F2423="SELL",IF(I2423="",0,H2423-I2423),IF(F2423="BUY",IF(I2423="",0,I2423-H2423))))*E2423</f>
        <v>400</v>
      </c>
      <c r="M2423" s="52">
        <f t="shared" si="3411"/>
        <v>1279.9999999999998</v>
      </c>
      <c r="N2423" s="2">
        <f t="shared" si="3358"/>
        <v>2.2999999999999998</v>
      </c>
      <c r="O2423" s="2">
        <f t="shared" si="3383"/>
        <v>1839.9999999999998</v>
      </c>
      <c r="P2423" s="13"/>
      <c r="Q2423" s="13"/>
      <c r="R2423" s="13"/>
      <c r="S2423" s="13"/>
      <c r="T2423" s="13"/>
      <c r="U2423" s="13"/>
      <c r="V2423" s="13"/>
      <c r="W2423" s="13"/>
      <c r="X2423" s="13"/>
      <c r="Y2423" s="13"/>
      <c r="Z2423" s="13"/>
      <c r="AA2423" s="13"/>
      <c r="AB2423" s="13"/>
      <c r="AC2423" s="13"/>
      <c r="AD2423" s="13"/>
      <c r="AE2423" s="13"/>
      <c r="AF2423" s="13"/>
      <c r="AG2423" s="13"/>
    </row>
    <row r="2424" spans="1:33" s="14" customFormat="1" ht="15" customHeight="1">
      <c r="A2424" s="10">
        <v>42866</v>
      </c>
      <c r="B2424" s="3" t="s">
        <v>28</v>
      </c>
      <c r="C2424" s="15" t="s">
        <v>47</v>
      </c>
      <c r="D2424" s="15">
        <v>370</v>
      </c>
      <c r="E2424" s="11">
        <v>1700</v>
      </c>
      <c r="F2424" s="3" t="s">
        <v>8</v>
      </c>
      <c r="G2424" s="46">
        <v>3.6</v>
      </c>
      <c r="H2424" s="3">
        <v>4.5999999999999996</v>
      </c>
      <c r="I2424" s="46">
        <v>6</v>
      </c>
      <c r="J2424" s="55">
        <v>10</v>
      </c>
      <c r="K2424" s="1">
        <f t="shared" ref="K2424" si="3416">(IF(F2424="SELL",G2424-H2424,IF(F2424="BUY",H2424-G2424)))*E2424</f>
        <v>1699.9999999999993</v>
      </c>
      <c r="L2424" s="51">
        <f t="shared" si="3415"/>
        <v>2380.0000000000005</v>
      </c>
      <c r="M2424" s="52">
        <f t="shared" si="3411"/>
        <v>6800</v>
      </c>
      <c r="N2424" s="2">
        <f t="shared" si="3358"/>
        <v>6.4</v>
      </c>
      <c r="O2424" s="2">
        <f t="shared" si="3383"/>
        <v>10880</v>
      </c>
      <c r="P2424" s="13"/>
      <c r="Q2424" s="13"/>
      <c r="R2424" s="13"/>
      <c r="S2424" s="13"/>
      <c r="T2424" s="13"/>
      <c r="U2424" s="13"/>
      <c r="V2424" s="13"/>
      <c r="W2424" s="13"/>
      <c r="X2424" s="13"/>
      <c r="Y2424" s="13"/>
      <c r="Z2424" s="13"/>
      <c r="AA2424" s="13"/>
      <c r="AB2424" s="13"/>
      <c r="AC2424" s="13"/>
      <c r="AD2424" s="13"/>
      <c r="AE2424" s="13"/>
      <c r="AF2424" s="13"/>
      <c r="AG2424" s="13"/>
    </row>
    <row r="2425" spans="1:33" s="5" customFormat="1" ht="15" customHeight="1">
      <c r="A2425" s="10">
        <v>42865</v>
      </c>
      <c r="B2425" s="5" t="s">
        <v>73</v>
      </c>
      <c r="C2425" s="5" t="s">
        <v>47</v>
      </c>
      <c r="D2425" s="5">
        <v>1720</v>
      </c>
      <c r="E2425" s="9">
        <v>500</v>
      </c>
      <c r="F2425" s="5" t="s">
        <v>8</v>
      </c>
      <c r="G2425" s="5">
        <v>36</v>
      </c>
      <c r="H2425" s="5">
        <v>40</v>
      </c>
      <c r="I2425" s="5">
        <v>0</v>
      </c>
      <c r="J2425" s="5">
        <v>0</v>
      </c>
      <c r="K2425" s="1">
        <f t="shared" ref="K2425" si="3417">(IF(F2425="SELL",G2425-H2425,IF(F2425="BUY",H2425-G2425)))*E2425</f>
        <v>2000</v>
      </c>
      <c r="L2425" s="51">
        <v>0</v>
      </c>
      <c r="M2425" s="52">
        <f t="shared" si="3411"/>
        <v>0</v>
      </c>
      <c r="N2425" s="2">
        <f t="shared" si="3358"/>
        <v>4</v>
      </c>
      <c r="O2425" s="2">
        <f t="shared" si="3383"/>
        <v>2000</v>
      </c>
      <c r="P2425" s="25"/>
      <c r="Q2425" s="25"/>
      <c r="R2425" s="25"/>
      <c r="S2425" s="25"/>
      <c r="T2425" s="25"/>
      <c r="U2425" s="25"/>
      <c r="V2425" s="25"/>
      <c r="W2425" s="25"/>
      <c r="X2425" s="25"/>
      <c r="Y2425" s="25"/>
      <c r="Z2425" s="25"/>
      <c r="AA2425" s="25"/>
      <c r="AB2425" s="25"/>
      <c r="AC2425" s="25"/>
      <c r="AD2425" s="25"/>
      <c r="AE2425" s="25"/>
      <c r="AF2425" s="25"/>
      <c r="AG2425" s="25"/>
    </row>
    <row r="2426" spans="1:33" s="14" customFormat="1" ht="15" customHeight="1">
      <c r="A2426" s="4">
        <v>42860</v>
      </c>
      <c r="B2426" s="3" t="s">
        <v>127</v>
      </c>
      <c r="C2426" s="15" t="s">
        <v>47</v>
      </c>
      <c r="D2426" s="15">
        <v>620</v>
      </c>
      <c r="E2426" s="11">
        <v>1500</v>
      </c>
      <c r="F2426" s="3" t="s">
        <v>8</v>
      </c>
      <c r="G2426" s="46">
        <v>13</v>
      </c>
      <c r="H2426" s="3">
        <v>13</v>
      </c>
      <c r="I2426" s="46">
        <v>0</v>
      </c>
      <c r="J2426" s="55">
        <v>0</v>
      </c>
      <c r="K2426" s="1">
        <f t="shared" ref="K2426" si="3418">(IF(F2426="SELL",G2426-H2426,IF(F2426="BUY",H2426-G2426)))*E2426</f>
        <v>0</v>
      </c>
      <c r="L2426" s="51">
        <v>0</v>
      </c>
      <c r="M2426" s="52">
        <v>0</v>
      </c>
      <c r="N2426" s="2">
        <f t="shared" si="3358"/>
        <v>0</v>
      </c>
      <c r="O2426" s="2">
        <f t="shared" si="3383"/>
        <v>0</v>
      </c>
      <c r="P2426" s="13"/>
      <c r="Q2426" s="13"/>
      <c r="R2426" s="13"/>
      <c r="S2426" s="13"/>
      <c r="T2426" s="13"/>
      <c r="U2426" s="13"/>
      <c r="V2426" s="13"/>
      <c r="W2426" s="13"/>
      <c r="X2426" s="13"/>
      <c r="Y2426" s="13"/>
      <c r="Z2426" s="13"/>
      <c r="AA2426" s="13"/>
      <c r="AB2426" s="13"/>
      <c r="AC2426" s="13"/>
      <c r="AD2426" s="13"/>
      <c r="AE2426" s="13"/>
      <c r="AF2426" s="13"/>
      <c r="AG2426" s="13"/>
    </row>
    <row r="2427" spans="1:33" s="14" customFormat="1" ht="15" customHeight="1">
      <c r="A2427" s="10">
        <v>42811</v>
      </c>
      <c r="B2427" s="3" t="s">
        <v>66</v>
      </c>
      <c r="C2427" s="15" t="s">
        <v>47</v>
      </c>
      <c r="D2427" s="15">
        <v>500</v>
      </c>
      <c r="E2427" s="11">
        <v>1000</v>
      </c>
      <c r="F2427" s="3" t="s">
        <v>8</v>
      </c>
      <c r="G2427" s="46">
        <v>8</v>
      </c>
      <c r="H2427" s="3">
        <v>8</v>
      </c>
      <c r="I2427" s="46">
        <v>0</v>
      </c>
      <c r="J2427" s="55">
        <v>0</v>
      </c>
      <c r="K2427" s="1">
        <f t="shared" ref="K2427" si="3419">(IF(F2427="SELL",G2427-H2427,IF(F2427="BUY",H2427-G2427)))*E2427</f>
        <v>0</v>
      </c>
      <c r="L2427" s="51">
        <v>0</v>
      </c>
      <c r="M2427" s="52">
        <v>0</v>
      </c>
      <c r="N2427" s="2">
        <f t="shared" si="3358"/>
        <v>0</v>
      </c>
      <c r="O2427" s="2">
        <f t="shared" si="3383"/>
        <v>0</v>
      </c>
      <c r="P2427" s="13"/>
      <c r="Q2427" s="13"/>
      <c r="R2427" s="13"/>
      <c r="S2427" s="13"/>
      <c r="T2427" s="13"/>
      <c r="U2427" s="13"/>
      <c r="V2427" s="13"/>
      <c r="W2427" s="13"/>
      <c r="X2427" s="13"/>
      <c r="Y2427" s="13"/>
      <c r="Z2427" s="13"/>
      <c r="AA2427" s="13"/>
      <c r="AB2427" s="13"/>
      <c r="AC2427" s="13"/>
      <c r="AD2427" s="13"/>
      <c r="AE2427" s="13"/>
      <c r="AF2427" s="13"/>
      <c r="AG2427" s="13"/>
    </row>
    <row r="2428" spans="1:33" s="14" customFormat="1" ht="15" customHeight="1">
      <c r="A2428" s="10">
        <v>42811</v>
      </c>
      <c r="B2428" s="3" t="s">
        <v>16</v>
      </c>
      <c r="C2428" s="15" t="s">
        <v>47</v>
      </c>
      <c r="D2428" s="15">
        <v>340</v>
      </c>
      <c r="E2428" s="11">
        <v>2500</v>
      </c>
      <c r="F2428" s="3" t="s">
        <v>8</v>
      </c>
      <c r="G2428" s="46">
        <v>8</v>
      </c>
      <c r="H2428" s="3">
        <v>8</v>
      </c>
      <c r="I2428" s="46">
        <v>0</v>
      </c>
      <c r="J2428" s="55">
        <v>0</v>
      </c>
      <c r="K2428" s="1">
        <f t="shared" ref="K2428" si="3420">(IF(F2428="SELL",G2428-H2428,IF(F2428="BUY",H2428-G2428)))*E2428</f>
        <v>0</v>
      </c>
      <c r="L2428" s="51">
        <v>0</v>
      </c>
      <c r="M2428" s="52">
        <f>(IF(F2428="SELL",IF(J2428="",0,I2428-J2428),IF(F2428="BUY",IF(J2428="",0,(J2428-I2428)))))*E2428</f>
        <v>0</v>
      </c>
      <c r="N2428" s="2">
        <f t="shared" si="3358"/>
        <v>0</v>
      </c>
      <c r="O2428" s="2">
        <f t="shared" si="3383"/>
        <v>0</v>
      </c>
      <c r="P2428" s="13"/>
      <c r="Q2428" s="13"/>
      <c r="R2428" s="13"/>
      <c r="S2428" s="13"/>
      <c r="T2428" s="13"/>
      <c r="U2428" s="13"/>
      <c r="V2428" s="13"/>
      <c r="W2428" s="13"/>
      <c r="X2428" s="13"/>
      <c r="Y2428" s="13"/>
      <c r="Z2428" s="13"/>
      <c r="AA2428" s="13"/>
      <c r="AB2428" s="13"/>
      <c r="AC2428" s="13"/>
      <c r="AD2428" s="13"/>
      <c r="AE2428" s="13"/>
      <c r="AF2428" s="13"/>
      <c r="AG2428" s="13"/>
    </row>
    <row r="2429" spans="1:33" s="14" customFormat="1" ht="15" customHeight="1">
      <c r="A2429" s="10">
        <v>42810</v>
      </c>
      <c r="B2429" s="3" t="s">
        <v>98</v>
      </c>
      <c r="C2429" s="15" t="s">
        <v>47</v>
      </c>
      <c r="D2429" s="15">
        <v>1100</v>
      </c>
      <c r="E2429" s="11">
        <v>600</v>
      </c>
      <c r="F2429" s="3" t="s">
        <v>8</v>
      </c>
      <c r="G2429" s="46">
        <v>25</v>
      </c>
      <c r="H2429" s="3">
        <v>30</v>
      </c>
      <c r="I2429" s="46">
        <v>0</v>
      </c>
      <c r="J2429" s="55">
        <v>0</v>
      </c>
      <c r="K2429" s="1">
        <f t="shared" ref="K2429" si="3421">(IF(F2429="SELL",G2429-H2429,IF(F2429="BUY",H2429-G2429)))*E2429</f>
        <v>3000</v>
      </c>
      <c r="L2429" s="51">
        <v>0</v>
      </c>
      <c r="M2429" s="52">
        <v>0</v>
      </c>
      <c r="N2429" s="2">
        <f t="shared" si="3358"/>
        <v>5</v>
      </c>
      <c r="O2429" s="2">
        <f t="shared" si="3383"/>
        <v>3000</v>
      </c>
      <c r="P2429" s="13"/>
      <c r="Q2429" s="13"/>
      <c r="R2429" s="13"/>
      <c r="S2429" s="13"/>
      <c r="T2429" s="13"/>
      <c r="U2429" s="13"/>
      <c r="V2429" s="13"/>
      <c r="W2429" s="13"/>
      <c r="X2429" s="13"/>
      <c r="Y2429" s="13"/>
      <c r="Z2429" s="13"/>
      <c r="AA2429" s="13"/>
      <c r="AB2429" s="13"/>
      <c r="AC2429" s="13"/>
      <c r="AD2429" s="13"/>
      <c r="AE2429" s="13"/>
      <c r="AF2429" s="13"/>
      <c r="AG2429" s="13"/>
    </row>
    <row r="2430" spans="1:33" s="14" customFormat="1" ht="15" customHeight="1">
      <c r="A2430" s="10">
        <v>42808</v>
      </c>
      <c r="B2430" s="3" t="s">
        <v>83</v>
      </c>
      <c r="C2430" s="15" t="s">
        <v>47</v>
      </c>
      <c r="D2430" s="15">
        <v>21000</v>
      </c>
      <c r="E2430" s="11">
        <v>40</v>
      </c>
      <c r="F2430" s="3" t="s">
        <v>8</v>
      </c>
      <c r="G2430" s="46">
        <v>245</v>
      </c>
      <c r="H2430" s="3">
        <v>245</v>
      </c>
      <c r="I2430" s="46">
        <v>0</v>
      </c>
      <c r="J2430" s="55">
        <v>0</v>
      </c>
      <c r="K2430" s="1">
        <f t="shared" ref="K2430" si="3422">(IF(F2430="SELL",G2430-H2430,IF(F2430="BUY",H2430-G2430)))*E2430</f>
        <v>0</v>
      </c>
      <c r="L2430" s="51">
        <v>0</v>
      </c>
      <c r="M2430" s="52">
        <v>0</v>
      </c>
      <c r="N2430" s="2">
        <f t="shared" si="3358"/>
        <v>0</v>
      </c>
      <c r="O2430" s="2">
        <f t="shared" si="3383"/>
        <v>0</v>
      </c>
      <c r="P2430" s="13"/>
      <c r="Q2430" s="13"/>
      <c r="R2430" s="13"/>
      <c r="S2430" s="13"/>
      <c r="T2430" s="13"/>
      <c r="U2430" s="13"/>
      <c r="V2430" s="13"/>
      <c r="W2430" s="13"/>
      <c r="X2430" s="13"/>
      <c r="Y2430" s="13"/>
      <c r="Z2430" s="13"/>
      <c r="AA2430" s="13"/>
      <c r="AB2430" s="13"/>
      <c r="AC2430" s="13"/>
      <c r="AD2430" s="13"/>
      <c r="AE2430" s="13"/>
      <c r="AF2430" s="13"/>
      <c r="AG2430" s="13"/>
    </row>
    <row r="2431" spans="1:33" s="14" customFormat="1" ht="15" customHeight="1">
      <c r="A2431" s="10">
        <v>42804</v>
      </c>
      <c r="B2431" s="3" t="s">
        <v>54</v>
      </c>
      <c r="C2431" s="15" t="s">
        <v>47</v>
      </c>
      <c r="D2431" s="15">
        <v>760</v>
      </c>
      <c r="E2431" s="11">
        <v>1000</v>
      </c>
      <c r="F2431" s="3" t="s">
        <v>8</v>
      </c>
      <c r="G2431" s="46">
        <v>16.5</v>
      </c>
      <c r="H2431" s="3">
        <v>19</v>
      </c>
      <c r="I2431" s="46">
        <v>0</v>
      </c>
      <c r="J2431" s="55">
        <v>0</v>
      </c>
      <c r="K2431" s="1">
        <f t="shared" ref="K2431" si="3423">(IF(F2431="SELL",G2431-H2431,IF(F2431="BUY",H2431-G2431)))*E2431</f>
        <v>2500</v>
      </c>
      <c r="L2431" s="51">
        <v>0</v>
      </c>
      <c r="M2431" s="52">
        <v>0</v>
      </c>
      <c r="N2431" s="2">
        <f t="shared" si="3358"/>
        <v>2.5</v>
      </c>
      <c r="O2431" s="2">
        <f t="shared" si="3383"/>
        <v>2500</v>
      </c>
      <c r="P2431" s="13"/>
      <c r="Q2431" s="13"/>
      <c r="R2431" s="13"/>
      <c r="S2431" s="13"/>
      <c r="T2431" s="13"/>
      <c r="U2431" s="13"/>
      <c r="V2431" s="13"/>
      <c r="W2431" s="13"/>
      <c r="X2431" s="13"/>
      <c r="Y2431" s="13"/>
      <c r="Z2431" s="13"/>
      <c r="AA2431" s="13"/>
      <c r="AB2431" s="13"/>
      <c r="AC2431" s="13"/>
      <c r="AD2431" s="13"/>
      <c r="AE2431" s="13"/>
      <c r="AF2431" s="13"/>
      <c r="AG2431" s="13"/>
    </row>
    <row r="2432" spans="1:33" s="14" customFormat="1" ht="15" customHeight="1">
      <c r="A2432" s="10">
        <v>42804</v>
      </c>
      <c r="B2432" s="5" t="s">
        <v>19</v>
      </c>
      <c r="C2432" s="5" t="s">
        <v>47</v>
      </c>
      <c r="D2432" s="5">
        <v>1040</v>
      </c>
      <c r="E2432" s="9">
        <v>600</v>
      </c>
      <c r="F2432" s="5" t="s">
        <v>8</v>
      </c>
      <c r="G2432" s="5">
        <v>22.5</v>
      </c>
      <c r="H2432" s="5">
        <v>22.5</v>
      </c>
      <c r="I2432" s="5">
        <v>0</v>
      </c>
      <c r="J2432" s="5">
        <v>0</v>
      </c>
      <c r="K2432" s="1">
        <f t="shared" ref="K2432" si="3424">(IF(F2432="SELL",G2432-H2432,IF(F2432="BUY",H2432-G2432)))*E2432</f>
        <v>0</v>
      </c>
      <c r="L2432" s="51">
        <v>0</v>
      </c>
      <c r="M2432" s="52">
        <f>(IF(F2432="SELL",IF(J2432="",0,I2432-J2432),IF(F2432="BUY",IF(J2432="",0,(J2432-I2432)))))*E2432</f>
        <v>0</v>
      </c>
      <c r="N2432" s="2">
        <f t="shared" si="3358"/>
        <v>0</v>
      </c>
      <c r="O2432" s="2">
        <f t="shared" si="3383"/>
        <v>0</v>
      </c>
      <c r="P2432" s="13"/>
      <c r="Q2432" s="13"/>
      <c r="R2432" s="13"/>
      <c r="S2432" s="13"/>
      <c r="T2432" s="13"/>
      <c r="U2432" s="13"/>
      <c r="V2432" s="13"/>
      <c r="W2432" s="13"/>
      <c r="X2432" s="13"/>
      <c r="Y2432" s="13"/>
      <c r="Z2432" s="13"/>
      <c r="AA2432" s="13"/>
      <c r="AB2432" s="13"/>
      <c r="AC2432" s="13"/>
      <c r="AD2432" s="13"/>
      <c r="AE2432" s="13"/>
      <c r="AF2432" s="13"/>
      <c r="AG2432" s="13"/>
    </row>
    <row r="2433" spans="1:33" s="14" customFormat="1" ht="15" customHeight="1">
      <c r="A2433" s="4">
        <v>42803</v>
      </c>
      <c r="B2433" s="3" t="s">
        <v>12</v>
      </c>
      <c r="C2433" s="15" t="s">
        <v>47</v>
      </c>
      <c r="D2433" s="15">
        <v>800</v>
      </c>
      <c r="E2433" s="11">
        <v>600</v>
      </c>
      <c r="F2433" s="3" t="s">
        <v>8</v>
      </c>
      <c r="G2433" s="46">
        <v>24.6</v>
      </c>
      <c r="H2433" s="3">
        <v>20</v>
      </c>
      <c r="I2433" s="46">
        <v>0</v>
      </c>
      <c r="J2433" s="55">
        <v>0</v>
      </c>
      <c r="K2433" s="1">
        <f t="shared" ref="K2433" si="3425">(IF(F2433="SELL",G2433-H2433,IF(F2433="BUY",H2433-G2433)))*E2433</f>
        <v>-2760.0000000000009</v>
      </c>
      <c r="L2433" s="51">
        <v>0</v>
      </c>
      <c r="M2433" s="52">
        <v>0</v>
      </c>
      <c r="N2433" s="2">
        <f t="shared" si="3358"/>
        <v>-4.6000000000000014</v>
      </c>
      <c r="O2433" s="2">
        <f t="shared" si="3383"/>
        <v>-2760.0000000000009</v>
      </c>
      <c r="P2433" s="13"/>
      <c r="Q2433" s="13"/>
      <c r="R2433" s="13"/>
      <c r="S2433" s="13"/>
      <c r="T2433" s="13"/>
      <c r="U2433" s="13"/>
      <c r="V2433" s="13"/>
      <c r="W2433" s="13"/>
      <c r="X2433" s="13"/>
      <c r="Y2433" s="13"/>
      <c r="Z2433" s="13"/>
      <c r="AA2433" s="13"/>
      <c r="AB2433" s="13"/>
      <c r="AC2433" s="13"/>
      <c r="AD2433" s="13"/>
      <c r="AE2433" s="13"/>
      <c r="AF2433" s="13"/>
      <c r="AG2433" s="13"/>
    </row>
    <row r="2434" spans="1:33" s="30" customFormat="1">
      <c r="A2434" s="10">
        <v>42802</v>
      </c>
      <c r="B2434" s="3" t="s">
        <v>25</v>
      </c>
      <c r="C2434" s="15" t="s">
        <v>47</v>
      </c>
      <c r="D2434" s="15">
        <v>160</v>
      </c>
      <c r="E2434" s="11">
        <v>5000</v>
      </c>
      <c r="F2434" s="3" t="s">
        <v>8</v>
      </c>
      <c r="G2434" s="46">
        <v>8.5</v>
      </c>
      <c r="H2434" s="3">
        <v>8.5</v>
      </c>
      <c r="I2434" s="46">
        <v>0</v>
      </c>
      <c r="J2434" s="55">
        <v>0</v>
      </c>
      <c r="K2434" s="1">
        <f t="shared" ref="K2434" si="3426">(IF(F2434="SELL",G2434-H2434,IF(F2434="BUY",H2434-G2434)))*E2434</f>
        <v>0</v>
      </c>
      <c r="L2434" s="51">
        <v>0</v>
      </c>
      <c r="M2434" s="52">
        <v>0</v>
      </c>
      <c r="N2434" s="2">
        <f t="shared" si="3358"/>
        <v>0</v>
      </c>
      <c r="O2434" s="2">
        <f t="shared" si="3383"/>
        <v>0</v>
      </c>
    </row>
    <row r="2435" spans="1:33" s="14" customFormat="1" ht="15" customHeight="1">
      <c r="A2435" s="10">
        <v>42801</v>
      </c>
      <c r="B2435" s="3" t="s">
        <v>34</v>
      </c>
      <c r="C2435" s="15" t="s">
        <v>47</v>
      </c>
      <c r="D2435" s="15">
        <v>210</v>
      </c>
      <c r="E2435" s="11">
        <v>3500</v>
      </c>
      <c r="F2435" s="3" t="s">
        <v>8</v>
      </c>
      <c r="G2435" s="46">
        <v>4.2</v>
      </c>
      <c r="H2435" s="3">
        <v>4.2</v>
      </c>
      <c r="I2435" s="46">
        <v>0</v>
      </c>
      <c r="J2435" s="55">
        <v>0</v>
      </c>
      <c r="K2435" s="1">
        <f t="shared" ref="K2435" si="3427">(IF(F2435="SELL",G2435-H2435,IF(F2435="BUY",H2435-G2435)))*E2435</f>
        <v>0</v>
      </c>
      <c r="L2435" s="51">
        <v>0</v>
      </c>
      <c r="M2435" s="52">
        <v>0</v>
      </c>
      <c r="N2435" s="2">
        <f t="shared" si="3358"/>
        <v>0</v>
      </c>
      <c r="O2435" s="2">
        <f t="shared" si="3383"/>
        <v>0</v>
      </c>
      <c r="P2435" s="13"/>
      <c r="Q2435" s="13"/>
      <c r="R2435" s="13"/>
      <c r="S2435" s="13"/>
      <c r="T2435" s="13"/>
      <c r="U2435" s="13"/>
      <c r="V2435" s="13"/>
      <c r="W2435" s="13"/>
      <c r="X2435" s="13"/>
      <c r="Y2435" s="13"/>
      <c r="Z2435" s="13"/>
      <c r="AA2435" s="13"/>
      <c r="AB2435" s="13"/>
      <c r="AC2435" s="13"/>
      <c r="AD2435" s="13"/>
      <c r="AE2435" s="13"/>
      <c r="AF2435" s="13"/>
      <c r="AG2435" s="13"/>
    </row>
    <row r="2436" spans="1:33" s="14" customFormat="1" ht="15" customHeight="1">
      <c r="A2436" s="10">
        <v>42916</v>
      </c>
      <c r="B2436" s="3" t="s">
        <v>107</v>
      </c>
      <c r="C2436" s="15" t="s">
        <v>47</v>
      </c>
      <c r="D2436" s="15">
        <v>560</v>
      </c>
      <c r="E2436" s="11">
        <v>700</v>
      </c>
      <c r="F2436" s="3" t="s">
        <v>8</v>
      </c>
      <c r="G2436" s="46">
        <v>14.5</v>
      </c>
      <c r="H2436" s="3">
        <v>15.5</v>
      </c>
      <c r="I2436" s="46">
        <v>17.2</v>
      </c>
      <c r="J2436" s="55">
        <v>0</v>
      </c>
      <c r="K2436" s="1">
        <f t="shared" ref="K2436" si="3428">(IF(F2436="SELL",G2436-H2436,IF(F2436="BUY",H2436-G2436)))*E2436</f>
        <v>700</v>
      </c>
      <c r="L2436" s="51">
        <f t="shared" ref="L2436" si="3429">(IF(F2436="SELL",IF(I2436="",0,H2436-I2436),IF(F2436="BUY",IF(I2436="",0,I2436-H2436))))*E2436</f>
        <v>1189.9999999999995</v>
      </c>
      <c r="M2436" s="52">
        <v>0</v>
      </c>
      <c r="N2436" s="2">
        <f t="shared" si="3358"/>
        <v>2.6999999999999993</v>
      </c>
      <c r="O2436" s="2">
        <f t="shared" si="3383"/>
        <v>1889.9999999999995</v>
      </c>
      <c r="P2436" s="13"/>
      <c r="Q2436" s="13"/>
      <c r="R2436" s="13"/>
      <c r="S2436" s="13"/>
      <c r="T2436" s="13"/>
      <c r="U2436" s="13"/>
      <c r="V2436" s="13"/>
      <c r="W2436" s="13"/>
      <c r="X2436" s="13"/>
      <c r="Y2436" s="13"/>
      <c r="Z2436" s="13"/>
      <c r="AA2436" s="13"/>
      <c r="AB2436" s="13"/>
      <c r="AC2436" s="13"/>
      <c r="AD2436" s="13"/>
      <c r="AE2436" s="13"/>
      <c r="AF2436" s="13"/>
      <c r="AG2436" s="13"/>
    </row>
    <row r="2437" spans="1:33" s="14" customFormat="1" ht="15" customHeight="1">
      <c r="A2437" s="10">
        <v>42916</v>
      </c>
      <c r="B2437" s="3" t="s">
        <v>83</v>
      </c>
      <c r="C2437" s="15" t="s">
        <v>46</v>
      </c>
      <c r="D2437" s="15">
        <v>23000</v>
      </c>
      <c r="E2437" s="11">
        <v>40</v>
      </c>
      <c r="F2437" s="3" t="s">
        <v>8</v>
      </c>
      <c r="G2437" s="46">
        <v>125</v>
      </c>
      <c r="H2437" s="3">
        <v>150</v>
      </c>
      <c r="I2437" s="46">
        <v>0</v>
      </c>
      <c r="J2437" s="55">
        <v>0</v>
      </c>
      <c r="K2437" s="1">
        <f t="shared" ref="K2437" si="3430">(IF(F2437="SELL",G2437-H2437,IF(F2437="BUY",H2437-G2437)))*E2437</f>
        <v>1000</v>
      </c>
      <c r="L2437" s="51">
        <v>0</v>
      </c>
      <c r="M2437" s="52">
        <v>0</v>
      </c>
      <c r="N2437" s="2">
        <f t="shared" si="3358"/>
        <v>25</v>
      </c>
      <c r="O2437" s="2">
        <f t="shared" si="3383"/>
        <v>1000</v>
      </c>
      <c r="P2437" s="13"/>
      <c r="Q2437" s="13"/>
      <c r="R2437" s="13"/>
      <c r="S2437" s="13"/>
      <c r="T2437" s="13"/>
      <c r="U2437" s="13"/>
      <c r="V2437" s="13"/>
      <c r="W2437" s="13"/>
      <c r="X2437" s="13"/>
      <c r="Y2437" s="13"/>
      <c r="Z2437" s="13"/>
      <c r="AA2437" s="13"/>
      <c r="AB2437" s="13"/>
      <c r="AC2437" s="13"/>
      <c r="AD2437" s="13"/>
      <c r="AE2437" s="13"/>
      <c r="AF2437" s="13"/>
      <c r="AG2437" s="13"/>
    </row>
    <row r="2438" spans="1:33" s="14" customFormat="1" ht="15" customHeight="1">
      <c r="A2438" s="10">
        <v>42916</v>
      </c>
      <c r="B2438" s="3" t="s">
        <v>32</v>
      </c>
      <c r="C2438" s="15" t="s">
        <v>47</v>
      </c>
      <c r="D2438" s="15">
        <v>600</v>
      </c>
      <c r="E2438" s="11">
        <v>700</v>
      </c>
      <c r="F2438" s="3" t="s">
        <v>8</v>
      </c>
      <c r="G2438" s="46">
        <v>28</v>
      </c>
      <c r="H2438" s="3">
        <v>28</v>
      </c>
      <c r="I2438" s="46">
        <v>0</v>
      </c>
      <c r="J2438" s="55">
        <v>0</v>
      </c>
      <c r="K2438" s="1">
        <f t="shared" ref="K2438" si="3431">(IF(F2438="SELL",G2438-H2438,IF(F2438="BUY",H2438-G2438)))*E2438</f>
        <v>0</v>
      </c>
      <c r="L2438" s="51">
        <v>0</v>
      </c>
      <c r="M2438" s="52">
        <v>0</v>
      </c>
      <c r="N2438" s="2">
        <f t="shared" si="3358"/>
        <v>0</v>
      </c>
      <c r="O2438" s="2">
        <f t="shared" si="3383"/>
        <v>0</v>
      </c>
      <c r="P2438" s="13"/>
      <c r="Q2438" s="13"/>
      <c r="R2438" s="13"/>
      <c r="S2438" s="13"/>
      <c r="T2438" s="13"/>
      <c r="U2438" s="13"/>
      <c r="V2438" s="13"/>
      <c r="W2438" s="13"/>
      <c r="X2438" s="13"/>
      <c r="Y2438" s="13"/>
      <c r="Z2438" s="13"/>
      <c r="AA2438" s="13"/>
      <c r="AB2438" s="13"/>
      <c r="AC2438" s="13"/>
      <c r="AD2438" s="13"/>
      <c r="AE2438" s="13"/>
      <c r="AF2438" s="13"/>
      <c r="AG2438" s="13"/>
    </row>
    <row r="2439" spans="1:33" s="14" customFormat="1" ht="15" customHeight="1">
      <c r="A2439" s="10">
        <v>42915</v>
      </c>
      <c r="B2439" s="3" t="s">
        <v>34</v>
      </c>
      <c r="C2439" s="15" t="s">
        <v>47</v>
      </c>
      <c r="D2439" s="15">
        <v>200</v>
      </c>
      <c r="E2439" s="11">
        <v>3500</v>
      </c>
      <c r="F2439" s="3" t="s">
        <v>8</v>
      </c>
      <c r="G2439" s="46">
        <v>5</v>
      </c>
      <c r="H2439" s="3">
        <v>5</v>
      </c>
      <c r="I2439" s="46">
        <v>0</v>
      </c>
      <c r="J2439" s="55">
        <v>0</v>
      </c>
      <c r="K2439" s="1">
        <f t="shared" ref="K2439" si="3432">(IF(F2439="SELL",G2439-H2439,IF(F2439="BUY",H2439-G2439)))*E2439</f>
        <v>0</v>
      </c>
      <c r="L2439" s="51">
        <v>0</v>
      </c>
      <c r="M2439" s="52">
        <v>0</v>
      </c>
      <c r="N2439" s="2">
        <f t="shared" si="3358"/>
        <v>0</v>
      </c>
      <c r="O2439" s="2">
        <f t="shared" si="3383"/>
        <v>0</v>
      </c>
      <c r="P2439" s="13"/>
      <c r="Q2439" s="13"/>
      <c r="R2439" s="13"/>
      <c r="S2439" s="13"/>
      <c r="T2439" s="13"/>
      <c r="U2439" s="13"/>
      <c r="V2439" s="13"/>
      <c r="W2439" s="13"/>
      <c r="X2439" s="13"/>
      <c r="Y2439" s="13"/>
      <c r="Z2439" s="13"/>
      <c r="AA2439" s="13"/>
      <c r="AB2439" s="13"/>
      <c r="AC2439" s="13"/>
      <c r="AD2439" s="13"/>
      <c r="AE2439" s="13"/>
      <c r="AF2439" s="13"/>
      <c r="AG2439" s="13"/>
    </row>
    <row r="2440" spans="1:33" s="14" customFormat="1" ht="15" customHeight="1">
      <c r="A2440" s="10">
        <v>42915</v>
      </c>
      <c r="B2440" s="3" t="s">
        <v>38</v>
      </c>
      <c r="C2440" s="15" t="s">
        <v>46</v>
      </c>
      <c r="D2440" s="15">
        <v>7200</v>
      </c>
      <c r="E2440" s="11">
        <v>150</v>
      </c>
      <c r="F2440" s="3" t="s">
        <v>8</v>
      </c>
      <c r="G2440" s="46">
        <v>8</v>
      </c>
      <c r="H2440" s="3">
        <v>11</v>
      </c>
      <c r="I2440" s="46">
        <v>15</v>
      </c>
      <c r="J2440" s="55">
        <v>0</v>
      </c>
      <c r="K2440" s="1">
        <f t="shared" ref="K2440" si="3433">(IF(F2440="SELL",G2440-H2440,IF(F2440="BUY",H2440-G2440)))*E2440</f>
        <v>450</v>
      </c>
      <c r="L2440" s="51">
        <f t="shared" ref="L2440" si="3434">(IF(F2440="SELL",IF(I2440="",0,H2440-I2440),IF(F2440="BUY",IF(I2440="",0,I2440-H2440))))*E2440</f>
        <v>600</v>
      </c>
      <c r="M2440" s="52">
        <v>0</v>
      </c>
      <c r="N2440" s="2">
        <f t="shared" si="3358"/>
        <v>7</v>
      </c>
      <c r="O2440" s="2">
        <f t="shared" si="3383"/>
        <v>1050</v>
      </c>
      <c r="P2440" s="13"/>
      <c r="Q2440" s="13"/>
      <c r="R2440" s="13"/>
      <c r="S2440" s="13"/>
      <c r="T2440" s="13"/>
      <c r="U2440" s="13"/>
      <c r="V2440" s="13"/>
      <c r="W2440" s="13"/>
      <c r="X2440" s="13"/>
      <c r="Y2440" s="13"/>
      <c r="Z2440" s="13"/>
      <c r="AA2440" s="13"/>
      <c r="AB2440" s="13"/>
      <c r="AC2440" s="13"/>
      <c r="AD2440" s="13"/>
      <c r="AE2440" s="13"/>
      <c r="AF2440" s="13"/>
      <c r="AG2440" s="13"/>
    </row>
    <row r="2441" spans="1:33" s="14" customFormat="1" ht="15" customHeight="1">
      <c r="A2441" s="10">
        <v>42915</v>
      </c>
      <c r="B2441" s="3" t="s">
        <v>60</v>
      </c>
      <c r="C2441" s="3" t="s">
        <v>47</v>
      </c>
      <c r="D2441" s="3">
        <v>250</v>
      </c>
      <c r="E2441" s="29">
        <v>3500</v>
      </c>
      <c r="F2441" s="3" t="s">
        <v>8</v>
      </c>
      <c r="G2441" s="46">
        <v>9.5</v>
      </c>
      <c r="H2441" s="3">
        <v>9.9</v>
      </c>
      <c r="I2441" s="46">
        <v>10.7</v>
      </c>
      <c r="J2441" s="48">
        <v>0</v>
      </c>
      <c r="K2441" s="1">
        <f t="shared" ref="K2441:K2442" si="3435">(IF(F2441="SELL",G2441-H2441,IF(F2441="BUY",H2441-G2441)))*E2441</f>
        <v>1400.0000000000011</v>
      </c>
      <c r="L2441" s="51">
        <f t="shared" ref="L2441:L2443" si="3436">(IF(F2441="SELL",IF(I2441="",0,H2441-I2441),IF(F2441="BUY",IF(I2441="",0,I2441-H2441))))*E2441</f>
        <v>2799.9999999999964</v>
      </c>
      <c r="M2441" s="51">
        <v>0</v>
      </c>
      <c r="N2441" s="1">
        <f t="shared" si="3358"/>
        <v>1.1999999999999993</v>
      </c>
      <c r="O2441" s="1">
        <f t="shared" si="3383"/>
        <v>4199.9999999999973</v>
      </c>
      <c r="P2441" s="13"/>
      <c r="Q2441" s="13"/>
      <c r="R2441" s="13"/>
      <c r="S2441" s="13"/>
      <c r="T2441" s="13"/>
      <c r="U2441" s="13"/>
      <c r="V2441" s="13"/>
      <c r="W2441" s="13"/>
      <c r="X2441" s="13"/>
      <c r="Y2441" s="13"/>
      <c r="Z2441" s="13"/>
      <c r="AA2441" s="13"/>
      <c r="AB2441" s="13"/>
      <c r="AC2441" s="13"/>
      <c r="AD2441" s="13"/>
      <c r="AE2441" s="13"/>
      <c r="AF2441" s="13"/>
      <c r="AG2441" s="13"/>
    </row>
    <row r="2442" spans="1:33" s="14" customFormat="1" ht="15" customHeight="1">
      <c r="A2442" s="10">
        <v>42915</v>
      </c>
      <c r="B2442" s="15" t="s">
        <v>20</v>
      </c>
      <c r="C2442" s="15" t="s">
        <v>47</v>
      </c>
      <c r="D2442" s="15">
        <v>940</v>
      </c>
      <c r="E2442" s="28">
        <v>500</v>
      </c>
      <c r="F2442" s="15" t="s">
        <v>8</v>
      </c>
      <c r="G2442" s="45">
        <v>34</v>
      </c>
      <c r="H2442" s="15">
        <v>37</v>
      </c>
      <c r="I2442" s="45">
        <v>0</v>
      </c>
      <c r="J2442" s="54">
        <v>0</v>
      </c>
      <c r="K2442" s="1">
        <f t="shared" si="3435"/>
        <v>1500</v>
      </c>
      <c r="L2442" s="51">
        <v>0</v>
      </c>
      <c r="M2442" s="51">
        <v>0</v>
      </c>
      <c r="N2442" s="1">
        <f t="shared" si="3358"/>
        <v>3</v>
      </c>
      <c r="O2442" s="1">
        <f t="shared" si="3383"/>
        <v>1500</v>
      </c>
      <c r="P2442" s="13"/>
      <c r="Q2442" s="13"/>
      <c r="R2442" s="13"/>
      <c r="S2442" s="13"/>
      <c r="T2442" s="13"/>
      <c r="U2442" s="13"/>
      <c r="V2442" s="13"/>
      <c r="W2442" s="13"/>
      <c r="X2442" s="13"/>
      <c r="Y2442" s="13"/>
      <c r="Z2442" s="13"/>
      <c r="AA2442" s="13"/>
      <c r="AB2442" s="13"/>
      <c r="AC2442" s="13"/>
      <c r="AD2442" s="13"/>
      <c r="AE2442" s="13"/>
      <c r="AF2442" s="13"/>
      <c r="AG2442" s="13"/>
    </row>
    <row r="2443" spans="1:33" s="14" customFormat="1" ht="15" customHeight="1">
      <c r="A2443" s="27">
        <v>42915</v>
      </c>
      <c r="B2443" s="3" t="s">
        <v>83</v>
      </c>
      <c r="C2443" s="15" t="s">
        <v>47</v>
      </c>
      <c r="D2443" s="15">
        <v>23400</v>
      </c>
      <c r="E2443" s="11">
        <v>40</v>
      </c>
      <c r="F2443" s="3" t="s">
        <v>8</v>
      </c>
      <c r="G2443" s="46">
        <v>55</v>
      </c>
      <c r="H2443" s="3">
        <v>65</v>
      </c>
      <c r="I2443" s="46">
        <v>85</v>
      </c>
      <c r="J2443" s="55">
        <v>0</v>
      </c>
      <c r="K2443" s="1">
        <f t="shared" ref="K2443" si="3437">(IF(F2443="SELL",G2443-H2443,IF(F2443="BUY",H2443-G2443)))*E2443</f>
        <v>400</v>
      </c>
      <c r="L2443" s="51">
        <f t="shared" si="3436"/>
        <v>800</v>
      </c>
      <c r="M2443" s="52">
        <v>0</v>
      </c>
      <c r="N2443" s="2">
        <f t="shared" si="3358"/>
        <v>30</v>
      </c>
      <c r="O2443" s="2">
        <f t="shared" si="3383"/>
        <v>1200</v>
      </c>
      <c r="P2443" s="13"/>
      <c r="Q2443" s="13"/>
      <c r="R2443" s="13"/>
      <c r="S2443" s="13"/>
      <c r="T2443" s="13"/>
      <c r="U2443" s="13"/>
      <c r="V2443" s="13"/>
      <c r="W2443" s="13"/>
      <c r="X2443" s="13"/>
      <c r="Y2443" s="13"/>
      <c r="Z2443" s="13"/>
      <c r="AA2443" s="13"/>
      <c r="AB2443" s="13"/>
      <c r="AC2443" s="13"/>
      <c r="AD2443" s="13"/>
      <c r="AE2443" s="13"/>
      <c r="AF2443" s="13"/>
      <c r="AG2443" s="13"/>
    </row>
    <row r="2444" spans="1:33" s="14" customFormat="1" ht="15" customHeight="1">
      <c r="A2444" s="10">
        <v>42915</v>
      </c>
      <c r="B2444" s="3" t="s">
        <v>124</v>
      </c>
      <c r="C2444" s="15" t="s">
        <v>47</v>
      </c>
      <c r="D2444" s="15">
        <v>440</v>
      </c>
      <c r="E2444" s="11">
        <v>3500</v>
      </c>
      <c r="F2444" s="3" t="s">
        <v>8</v>
      </c>
      <c r="G2444" s="46">
        <v>7</v>
      </c>
      <c r="H2444" s="3">
        <v>8</v>
      </c>
      <c r="I2444" s="46">
        <v>0</v>
      </c>
      <c r="J2444" s="55">
        <v>0</v>
      </c>
      <c r="K2444" s="1">
        <f t="shared" ref="K2444" si="3438">(IF(F2444="SELL",G2444-H2444,IF(F2444="BUY",H2444-G2444)))*E2444</f>
        <v>3500</v>
      </c>
      <c r="L2444" s="51">
        <v>0</v>
      </c>
      <c r="M2444" s="52">
        <v>0</v>
      </c>
      <c r="N2444" s="2">
        <f t="shared" ref="N2444:N2507" si="3439">(L2444+K2444+M2444)/E2444</f>
        <v>1</v>
      </c>
      <c r="O2444" s="2">
        <f t="shared" si="3383"/>
        <v>3500</v>
      </c>
      <c r="P2444" s="13"/>
      <c r="Q2444" s="13"/>
      <c r="R2444" s="13"/>
      <c r="S2444" s="13"/>
      <c r="T2444" s="13"/>
      <c r="U2444" s="13"/>
      <c r="V2444" s="13"/>
      <c r="W2444" s="13"/>
      <c r="X2444" s="13"/>
      <c r="Y2444" s="13"/>
      <c r="Z2444" s="13"/>
      <c r="AA2444" s="13"/>
      <c r="AB2444" s="13"/>
      <c r="AC2444" s="13"/>
      <c r="AD2444" s="13"/>
      <c r="AE2444" s="13"/>
      <c r="AF2444" s="13"/>
      <c r="AG2444" s="13"/>
    </row>
    <row r="2445" spans="1:33" s="14" customFormat="1" ht="15" customHeight="1">
      <c r="A2445" s="10">
        <v>42914</v>
      </c>
      <c r="B2445" s="3" t="s">
        <v>60</v>
      </c>
      <c r="C2445" s="15" t="s">
        <v>47</v>
      </c>
      <c r="D2445" s="15">
        <v>240</v>
      </c>
      <c r="E2445" s="11">
        <v>3500</v>
      </c>
      <c r="F2445" s="3" t="s">
        <v>8</v>
      </c>
      <c r="G2445" s="46">
        <v>3</v>
      </c>
      <c r="H2445" s="3">
        <v>3.4</v>
      </c>
      <c r="I2445" s="46">
        <v>0</v>
      </c>
      <c r="J2445" s="55">
        <v>0</v>
      </c>
      <c r="K2445" s="1">
        <f t="shared" ref="K2445" si="3440">(IF(F2445="SELL",G2445-H2445,IF(F2445="BUY",H2445-G2445)))*E2445</f>
        <v>1399.9999999999998</v>
      </c>
      <c r="L2445" s="51">
        <v>0</v>
      </c>
      <c r="M2445" s="52">
        <v>0</v>
      </c>
      <c r="N2445" s="2">
        <f t="shared" si="3439"/>
        <v>0.39999999999999991</v>
      </c>
      <c r="O2445" s="2">
        <f t="shared" si="3383"/>
        <v>1399.9999999999998</v>
      </c>
      <c r="P2445" s="13"/>
      <c r="Q2445" s="13"/>
      <c r="R2445" s="13"/>
      <c r="S2445" s="13"/>
      <c r="T2445" s="13"/>
      <c r="U2445" s="13"/>
      <c r="V2445" s="13"/>
      <c r="W2445" s="13"/>
      <c r="X2445" s="13"/>
      <c r="Y2445" s="13"/>
      <c r="Z2445" s="13"/>
      <c r="AA2445" s="13"/>
      <c r="AB2445" s="13"/>
      <c r="AC2445" s="13"/>
      <c r="AD2445" s="13"/>
      <c r="AE2445" s="13"/>
      <c r="AF2445" s="13"/>
      <c r="AG2445" s="13"/>
    </row>
    <row r="2446" spans="1:33" s="14" customFormat="1" ht="15" customHeight="1">
      <c r="A2446" s="10">
        <v>42914</v>
      </c>
      <c r="B2446" s="3" t="s">
        <v>57</v>
      </c>
      <c r="C2446" s="15" t="s">
        <v>47</v>
      </c>
      <c r="D2446" s="15">
        <v>135</v>
      </c>
      <c r="E2446" s="11">
        <v>6000</v>
      </c>
      <c r="F2446" s="3" t="s">
        <v>8</v>
      </c>
      <c r="G2446" s="46">
        <v>1.7</v>
      </c>
      <c r="H2446" s="3">
        <v>2</v>
      </c>
      <c r="I2446" s="46">
        <v>0</v>
      </c>
      <c r="J2446" s="55">
        <v>0</v>
      </c>
      <c r="K2446" s="1">
        <f t="shared" ref="K2446" si="3441">(IF(F2446="SELL",G2446-H2446,IF(F2446="BUY",H2446-G2446)))*E2446</f>
        <v>1800.0000000000002</v>
      </c>
      <c r="L2446" s="51">
        <v>0</v>
      </c>
      <c r="M2446" s="52">
        <v>0</v>
      </c>
      <c r="N2446" s="2">
        <f t="shared" si="3439"/>
        <v>0.30000000000000004</v>
      </c>
      <c r="O2446" s="2">
        <f t="shared" si="3383"/>
        <v>1800.0000000000002</v>
      </c>
      <c r="P2446" s="13"/>
      <c r="Q2446" s="13"/>
      <c r="R2446" s="13"/>
      <c r="S2446" s="13"/>
      <c r="T2446" s="13"/>
      <c r="U2446" s="13"/>
      <c r="V2446" s="13"/>
      <c r="W2446" s="13"/>
      <c r="X2446" s="13"/>
      <c r="Y2446" s="13"/>
      <c r="Z2446" s="13"/>
      <c r="AA2446" s="13"/>
      <c r="AB2446" s="13"/>
      <c r="AC2446" s="13"/>
      <c r="AD2446" s="13"/>
      <c r="AE2446" s="13"/>
      <c r="AF2446" s="13"/>
      <c r="AG2446" s="13"/>
    </row>
    <row r="2447" spans="1:33" s="14" customFormat="1" ht="15" customHeight="1">
      <c r="A2447" s="10">
        <v>42914</v>
      </c>
      <c r="B2447" s="3" t="s">
        <v>114</v>
      </c>
      <c r="C2447" s="15" t="s">
        <v>47</v>
      </c>
      <c r="D2447" s="15">
        <v>1440</v>
      </c>
      <c r="E2447" s="11">
        <v>350</v>
      </c>
      <c r="F2447" s="3" t="s">
        <v>8</v>
      </c>
      <c r="G2447" s="46">
        <v>9</v>
      </c>
      <c r="H2447" s="3">
        <v>11</v>
      </c>
      <c r="I2447" s="46">
        <v>15</v>
      </c>
      <c r="J2447" s="55">
        <v>21</v>
      </c>
      <c r="K2447" s="1">
        <f t="shared" ref="K2447" si="3442">(IF(F2447="SELL",G2447-H2447,IF(F2447="BUY",H2447-G2447)))*E2447</f>
        <v>700</v>
      </c>
      <c r="L2447" s="51">
        <f t="shared" ref="L2447" si="3443">(IF(F2447="SELL",IF(I2447="",0,H2447-I2447),IF(F2447="BUY",IF(I2447="",0,I2447-H2447))))*E2447</f>
        <v>1400</v>
      </c>
      <c r="M2447" s="52">
        <f>(IF(F2447="SELL",IF(J2447="",0,I2447-J2447),IF(F2447="BUY",IF(J2447="",0,(J2447-I2447)))))*E2447</f>
        <v>2100</v>
      </c>
      <c r="N2447" s="2">
        <f t="shared" si="3439"/>
        <v>12</v>
      </c>
      <c r="O2447" s="2">
        <f t="shared" si="3383"/>
        <v>4200</v>
      </c>
      <c r="P2447" s="13"/>
      <c r="Q2447" s="13"/>
      <c r="R2447" s="13"/>
      <c r="S2447" s="13"/>
      <c r="T2447" s="13"/>
      <c r="U2447" s="13"/>
      <c r="V2447" s="13"/>
      <c r="W2447" s="13"/>
      <c r="X2447" s="13"/>
      <c r="Y2447" s="13"/>
      <c r="Z2447" s="13"/>
      <c r="AA2447" s="13"/>
      <c r="AB2447" s="13"/>
      <c r="AC2447" s="13"/>
      <c r="AD2447" s="13"/>
      <c r="AE2447" s="13"/>
      <c r="AF2447" s="13"/>
      <c r="AG2447" s="13"/>
    </row>
    <row r="2448" spans="1:33" s="14" customFormat="1" ht="15" customHeight="1">
      <c r="A2448" s="10">
        <v>42914</v>
      </c>
      <c r="B2448" s="3" t="s">
        <v>38</v>
      </c>
      <c r="C2448" s="15" t="s">
        <v>47</v>
      </c>
      <c r="D2448" s="15">
        <v>7200</v>
      </c>
      <c r="E2448" s="11">
        <v>150</v>
      </c>
      <c r="F2448" s="3" t="s">
        <v>8</v>
      </c>
      <c r="G2448" s="46">
        <v>80</v>
      </c>
      <c r="H2448" s="3">
        <v>100</v>
      </c>
      <c r="I2448" s="46">
        <v>0</v>
      </c>
      <c r="J2448" s="55">
        <v>0</v>
      </c>
      <c r="K2448" s="1">
        <f t="shared" ref="K2448" si="3444">(IF(F2448="SELL",G2448-H2448,IF(F2448="BUY",H2448-G2448)))*E2448</f>
        <v>3000</v>
      </c>
      <c r="L2448" s="51">
        <v>0</v>
      </c>
      <c r="M2448" s="52">
        <v>0</v>
      </c>
      <c r="N2448" s="2">
        <f t="shared" si="3439"/>
        <v>20</v>
      </c>
      <c r="O2448" s="2">
        <f t="shared" si="3383"/>
        <v>3000</v>
      </c>
      <c r="P2448" s="13"/>
      <c r="Q2448" s="13"/>
      <c r="R2448" s="13"/>
      <c r="S2448" s="13"/>
      <c r="T2448" s="13"/>
      <c r="U2448" s="13"/>
      <c r="V2448" s="13"/>
      <c r="W2448" s="13"/>
      <c r="X2448" s="13"/>
      <c r="Y2448" s="13"/>
      <c r="Z2448" s="13"/>
      <c r="AA2448" s="13"/>
      <c r="AB2448" s="13"/>
      <c r="AC2448" s="13"/>
      <c r="AD2448" s="13"/>
      <c r="AE2448" s="13"/>
      <c r="AF2448" s="13"/>
      <c r="AG2448" s="13"/>
    </row>
    <row r="2449" spans="1:33" s="14" customFormat="1" ht="15" customHeight="1">
      <c r="A2449" s="10">
        <v>42914</v>
      </c>
      <c r="B2449" s="3" t="s">
        <v>83</v>
      </c>
      <c r="C2449" s="15" t="s">
        <v>46</v>
      </c>
      <c r="D2449" s="15">
        <v>23100</v>
      </c>
      <c r="E2449" s="11">
        <v>40</v>
      </c>
      <c r="F2449" s="3" t="s">
        <v>8</v>
      </c>
      <c r="G2449" s="46">
        <v>70</v>
      </c>
      <c r="H2449" s="3">
        <v>85</v>
      </c>
      <c r="I2449" s="46">
        <v>0</v>
      </c>
      <c r="J2449" s="55">
        <v>0</v>
      </c>
      <c r="K2449" s="1">
        <f t="shared" ref="K2449" si="3445">(IF(F2449="SELL",G2449-H2449,IF(F2449="BUY",H2449-G2449)))*E2449</f>
        <v>600</v>
      </c>
      <c r="L2449" s="51">
        <v>0</v>
      </c>
      <c r="M2449" s="52">
        <v>0</v>
      </c>
      <c r="N2449" s="2">
        <f t="shared" si="3439"/>
        <v>15</v>
      </c>
      <c r="O2449" s="2">
        <f t="shared" si="3383"/>
        <v>600</v>
      </c>
      <c r="P2449" s="13"/>
      <c r="Q2449" s="13"/>
      <c r="R2449" s="13"/>
      <c r="S2449" s="13"/>
      <c r="T2449" s="13"/>
      <c r="U2449" s="13"/>
      <c r="V2449" s="13"/>
      <c r="W2449" s="13"/>
      <c r="X2449" s="13"/>
      <c r="Y2449" s="13"/>
      <c r="Z2449" s="13"/>
      <c r="AA2449" s="13"/>
      <c r="AB2449" s="13"/>
      <c r="AC2449" s="13"/>
      <c r="AD2449" s="13"/>
      <c r="AE2449" s="13"/>
      <c r="AF2449" s="13"/>
      <c r="AG2449" s="13"/>
    </row>
    <row r="2450" spans="1:33" s="14" customFormat="1" ht="15" customHeight="1">
      <c r="A2450" s="10">
        <v>42914</v>
      </c>
      <c r="B2450" s="3" t="s">
        <v>54</v>
      </c>
      <c r="C2450" s="15" t="s">
        <v>47</v>
      </c>
      <c r="D2450" s="15">
        <v>800</v>
      </c>
      <c r="E2450" s="11">
        <v>1000</v>
      </c>
      <c r="F2450" s="3" t="s">
        <v>8</v>
      </c>
      <c r="G2450" s="46">
        <v>7</v>
      </c>
      <c r="H2450" s="3">
        <v>8</v>
      </c>
      <c r="I2450" s="46">
        <v>0</v>
      </c>
      <c r="J2450" s="55">
        <v>0</v>
      </c>
      <c r="K2450" s="1">
        <f t="shared" ref="K2450" si="3446">(IF(F2450="SELL",G2450-H2450,IF(F2450="BUY",H2450-G2450)))*E2450</f>
        <v>1000</v>
      </c>
      <c r="L2450" s="51">
        <v>0</v>
      </c>
      <c r="M2450" s="52">
        <v>0</v>
      </c>
      <c r="N2450" s="2">
        <f t="shared" si="3439"/>
        <v>1</v>
      </c>
      <c r="O2450" s="2">
        <f t="shared" si="3383"/>
        <v>1000</v>
      </c>
      <c r="P2450" s="13"/>
      <c r="Q2450" s="13"/>
      <c r="R2450" s="13"/>
      <c r="S2450" s="13"/>
      <c r="T2450" s="13"/>
      <c r="U2450" s="13"/>
      <c r="V2450" s="13"/>
      <c r="W2450" s="13"/>
      <c r="X2450" s="13"/>
      <c r="Y2450" s="13"/>
      <c r="Z2450" s="13"/>
      <c r="AA2450" s="13"/>
      <c r="AB2450" s="13"/>
      <c r="AC2450" s="13"/>
      <c r="AD2450" s="13"/>
      <c r="AE2450" s="13"/>
      <c r="AF2450" s="13"/>
      <c r="AG2450" s="13"/>
    </row>
    <row r="2451" spans="1:33" s="14" customFormat="1" ht="15" customHeight="1">
      <c r="A2451" s="10">
        <v>42913</v>
      </c>
      <c r="B2451" s="3" t="s">
        <v>83</v>
      </c>
      <c r="C2451" s="15" t="s">
        <v>46</v>
      </c>
      <c r="D2451" s="15">
        <v>23000</v>
      </c>
      <c r="E2451" s="11">
        <v>40</v>
      </c>
      <c r="F2451" s="3" t="s">
        <v>8</v>
      </c>
      <c r="G2451" s="46">
        <v>58</v>
      </c>
      <c r="H2451" s="3">
        <v>75</v>
      </c>
      <c r="I2451" s="46">
        <v>100</v>
      </c>
      <c r="J2451" s="55">
        <v>0</v>
      </c>
      <c r="K2451" s="1">
        <f t="shared" ref="K2451" si="3447">(IF(F2451="SELL",G2451-H2451,IF(F2451="BUY",H2451-G2451)))*E2451</f>
        <v>680</v>
      </c>
      <c r="L2451" s="51">
        <f t="shared" ref="L2451" si="3448">(IF(F2451="SELL",IF(I2451="",0,H2451-I2451),IF(F2451="BUY",IF(I2451="",0,I2451-H2451))))*E2451</f>
        <v>1000</v>
      </c>
      <c r="M2451" s="52">
        <v>0</v>
      </c>
      <c r="N2451" s="2">
        <f t="shared" si="3439"/>
        <v>42</v>
      </c>
      <c r="O2451" s="2">
        <f t="shared" si="3383"/>
        <v>1680</v>
      </c>
      <c r="P2451" s="13"/>
      <c r="Q2451" s="13"/>
      <c r="R2451" s="13"/>
      <c r="S2451" s="13"/>
      <c r="T2451" s="13"/>
      <c r="U2451" s="13"/>
      <c r="V2451" s="13"/>
      <c r="W2451" s="13"/>
      <c r="X2451" s="13"/>
      <c r="Y2451" s="13"/>
      <c r="Z2451" s="13"/>
      <c r="AA2451" s="13"/>
      <c r="AB2451" s="13"/>
      <c r="AC2451" s="13"/>
      <c r="AD2451" s="13"/>
      <c r="AE2451" s="13"/>
      <c r="AF2451" s="13"/>
      <c r="AG2451" s="13"/>
    </row>
    <row r="2452" spans="1:33" s="14" customFormat="1" ht="15" customHeight="1">
      <c r="A2452" s="10">
        <v>42913</v>
      </c>
      <c r="B2452" s="3" t="s">
        <v>83</v>
      </c>
      <c r="C2452" s="15" t="s">
        <v>47</v>
      </c>
      <c r="D2452" s="15">
        <v>23700</v>
      </c>
      <c r="E2452" s="11">
        <v>40</v>
      </c>
      <c r="F2452" s="3" t="s">
        <v>8</v>
      </c>
      <c r="G2452" s="46">
        <v>128</v>
      </c>
      <c r="H2452" s="3">
        <v>138</v>
      </c>
      <c r="I2452" s="46">
        <v>0</v>
      </c>
      <c r="J2452" s="55">
        <v>0</v>
      </c>
      <c r="K2452" s="1">
        <f t="shared" ref="K2452" si="3449">(IF(F2452="SELL",G2452-H2452,IF(F2452="BUY",H2452-G2452)))*E2452</f>
        <v>400</v>
      </c>
      <c r="L2452" s="51">
        <v>0</v>
      </c>
      <c r="M2452" s="52">
        <f>(IF(F2452="SELL",IF(J2452="",0,I2452-J2452),IF(F2452="BUY",IF(J2452="",0,(J2452-I2452)))))*E2452</f>
        <v>0</v>
      </c>
      <c r="N2452" s="2">
        <f t="shared" si="3439"/>
        <v>10</v>
      </c>
      <c r="O2452" s="2">
        <f t="shared" si="3383"/>
        <v>400</v>
      </c>
      <c r="P2452" s="13"/>
      <c r="Q2452" s="13"/>
      <c r="R2452" s="13"/>
      <c r="S2452" s="13"/>
      <c r="T2452" s="13"/>
      <c r="U2452" s="13"/>
      <c r="V2452" s="13"/>
      <c r="W2452" s="13"/>
      <c r="X2452" s="13"/>
      <c r="Y2452" s="13"/>
      <c r="Z2452" s="13"/>
      <c r="AA2452" s="13"/>
      <c r="AB2452" s="13"/>
      <c r="AC2452" s="13"/>
      <c r="AD2452" s="13"/>
      <c r="AE2452" s="13"/>
      <c r="AF2452" s="13"/>
      <c r="AG2452" s="13"/>
    </row>
    <row r="2453" spans="1:33" s="14" customFormat="1" ht="15" customHeight="1">
      <c r="A2453" s="10">
        <v>42909</v>
      </c>
      <c r="B2453" s="3" t="s">
        <v>38</v>
      </c>
      <c r="C2453" s="15" t="s">
        <v>47</v>
      </c>
      <c r="D2453" s="15">
        <v>7300</v>
      </c>
      <c r="E2453" s="11">
        <v>150</v>
      </c>
      <c r="F2453" s="3" t="s">
        <v>8</v>
      </c>
      <c r="G2453" s="46">
        <v>90</v>
      </c>
      <c r="H2453" s="3">
        <v>100</v>
      </c>
      <c r="I2453" s="46">
        <v>0</v>
      </c>
      <c r="J2453" s="55">
        <v>0</v>
      </c>
      <c r="K2453" s="1">
        <f t="shared" ref="K2453:K2454" si="3450">(IF(F2453="SELL",G2453-H2453,IF(F2453="BUY",H2453-G2453)))*E2453</f>
        <v>1500</v>
      </c>
      <c r="L2453" s="51">
        <v>0</v>
      </c>
      <c r="M2453" s="52">
        <f>(IF(F2453="SELL",IF(J2453="",0,I2453-J2453),IF(F2453="BUY",IF(J2453="",0,(J2453-I2453)))))*E2453</f>
        <v>0</v>
      </c>
      <c r="N2453" s="2">
        <f t="shared" si="3439"/>
        <v>10</v>
      </c>
      <c r="O2453" s="2">
        <f t="shared" si="3383"/>
        <v>1500</v>
      </c>
      <c r="P2453" s="13"/>
      <c r="Q2453" s="13"/>
      <c r="R2453" s="13"/>
      <c r="S2453" s="13"/>
      <c r="T2453" s="13"/>
      <c r="U2453" s="13"/>
      <c r="V2453" s="13"/>
      <c r="W2453" s="13"/>
      <c r="X2453" s="13"/>
      <c r="Y2453" s="13"/>
      <c r="Z2453" s="13"/>
      <c r="AA2453" s="13"/>
      <c r="AB2453" s="13"/>
      <c r="AC2453" s="13"/>
      <c r="AD2453" s="13"/>
      <c r="AE2453" s="13"/>
      <c r="AF2453" s="13"/>
      <c r="AG2453" s="13"/>
    </row>
    <row r="2454" spans="1:33" s="14" customFormat="1" ht="15" customHeight="1">
      <c r="A2454" s="10">
        <v>42908</v>
      </c>
      <c r="B2454" s="3" t="s">
        <v>56</v>
      </c>
      <c r="C2454" s="15" t="s">
        <v>47</v>
      </c>
      <c r="D2454" s="15">
        <v>23700</v>
      </c>
      <c r="E2454" s="11">
        <v>40</v>
      </c>
      <c r="F2454" s="3" t="s">
        <v>8</v>
      </c>
      <c r="G2454" s="46">
        <v>72</v>
      </c>
      <c r="H2454" s="3">
        <v>80</v>
      </c>
      <c r="I2454" s="46">
        <v>95</v>
      </c>
      <c r="J2454" s="55">
        <v>125</v>
      </c>
      <c r="K2454" s="1">
        <f t="shared" si="3450"/>
        <v>320</v>
      </c>
      <c r="L2454" s="51">
        <f t="shared" ref="L2454" si="3451">(IF(F2454="SELL",IF(I2454="",0,H2454-I2454),IF(F2454="BUY",IF(I2454="",0,I2454-H2454))))*E2454</f>
        <v>600</v>
      </c>
      <c r="M2454" s="52">
        <f>(IF(F2454="SELL",IF(J2454="",0,I2454-J2454),IF(F2454="BUY",IF(J2454="",0,(J2454-I2454)))))*E2454</f>
        <v>1200</v>
      </c>
      <c r="N2454" s="2">
        <f t="shared" si="3439"/>
        <v>53</v>
      </c>
      <c r="O2454" s="2">
        <f t="shared" si="3383"/>
        <v>2120</v>
      </c>
      <c r="P2454" s="13"/>
      <c r="Q2454" s="13"/>
      <c r="R2454" s="13"/>
      <c r="S2454" s="13"/>
      <c r="T2454" s="13"/>
      <c r="U2454" s="13"/>
      <c r="V2454" s="13"/>
      <c r="W2454" s="13"/>
      <c r="X2454" s="13"/>
      <c r="Y2454" s="13"/>
      <c r="Z2454" s="13"/>
      <c r="AA2454" s="13"/>
      <c r="AB2454" s="13"/>
      <c r="AC2454" s="13"/>
      <c r="AD2454" s="13"/>
      <c r="AE2454" s="13"/>
      <c r="AF2454" s="13"/>
      <c r="AG2454" s="13"/>
    </row>
    <row r="2455" spans="1:33" s="14" customFormat="1" ht="15" customHeight="1">
      <c r="A2455" s="10">
        <v>42908</v>
      </c>
      <c r="B2455" s="3" t="s">
        <v>113</v>
      </c>
      <c r="C2455" s="15" t="s">
        <v>46</v>
      </c>
      <c r="D2455" s="15">
        <v>520</v>
      </c>
      <c r="E2455" s="11">
        <v>2000</v>
      </c>
      <c r="F2455" s="3" t="s">
        <v>8</v>
      </c>
      <c r="G2455" s="46">
        <v>10</v>
      </c>
      <c r="H2455" s="3">
        <v>10.7</v>
      </c>
      <c r="I2455" s="46">
        <v>0</v>
      </c>
      <c r="J2455" s="55">
        <v>0</v>
      </c>
      <c r="K2455" s="1">
        <f t="shared" ref="K2455" si="3452">(IF(F2455="SELL",G2455-H2455,IF(F2455="BUY",H2455-G2455)))*E2455</f>
        <v>1399.9999999999986</v>
      </c>
      <c r="L2455" s="51">
        <v>0</v>
      </c>
      <c r="M2455" s="52">
        <v>0</v>
      </c>
      <c r="N2455" s="2">
        <f t="shared" si="3439"/>
        <v>0.69999999999999929</v>
      </c>
      <c r="O2455" s="2">
        <f t="shared" si="3383"/>
        <v>1399.9999999999986</v>
      </c>
      <c r="P2455" s="13"/>
      <c r="Q2455" s="13"/>
      <c r="R2455" s="13"/>
      <c r="S2455" s="13"/>
      <c r="T2455" s="13"/>
      <c r="U2455" s="13"/>
      <c r="V2455" s="13"/>
      <c r="W2455" s="13"/>
      <c r="X2455" s="13"/>
      <c r="Y2455" s="13"/>
      <c r="Z2455" s="13"/>
      <c r="AA2455" s="13"/>
      <c r="AB2455" s="13"/>
      <c r="AC2455" s="13"/>
      <c r="AD2455" s="13"/>
      <c r="AE2455" s="13"/>
      <c r="AF2455" s="13"/>
      <c r="AG2455" s="13"/>
    </row>
    <row r="2456" spans="1:33" s="14" customFormat="1" ht="15" customHeight="1">
      <c r="A2456" s="10">
        <v>42907</v>
      </c>
      <c r="B2456" s="3" t="s">
        <v>37</v>
      </c>
      <c r="C2456" s="15" t="s">
        <v>46</v>
      </c>
      <c r="D2456" s="15">
        <v>2400</v>
      </c>
      <c r="E2456" s="11">
        <v>250</v>
      </c>
      <c r="F2456" s="3" t="s">
        <v>8</v>
      </c>
      <c r="G2456" s="46">
        <v>30</v>
      </c>
      <c r="H2456" s="3">
        <v>30</v>
      </c>
      <c r="I2456" s="46">
        <v>0</v>
      </c>
      <c r="J2456" s="55">
        <v>0</v>
      </c>
      <c r="K2456" s="1">
        <f t="shared" ref="K2456" si="3453">(IF(F2456="SELL",G2456-H2456,IF(F2456="BUY",H2456-G2456)))*E2456</f>
        <v>0</v>
      </c>
      <c r="L2456" s="51">
        <v>0</v>
      </c>
      <c r="M2456" s="52">
        <v>0</v>
      </c>
      <c r="N2456" s="2">
        <f t="shared" si="3439"/>
        <v>0</v>
      </c>
      <c r="O2456" s="2">
        <f t="shared" si="3383"/>
        <v>0</v>
      </c>
      <c r="P2456" s="13"/>
      <c r="Q2456" s="13"/>
      <c r="R2456" s="13"/>
      <c r="S2456" s="13"/>
      <c r="T2456" s="13"/>
      <c r="U2456" s="13"/>
      <c r="V2456" s="13"/>
      <c r="W2456" s="13"/>
      <c r="X2456" s="13"/>
      <c r="Y2456" s="13"/>
      <c r="Z2456" s="13"/>
      <c r="AA2456" s="13"/>
      <c r="AB2456" s="13"/>
      <c r="AC2456" s="13"/>
      <c r="AD2456" s="13"/>
      <c r="AE2456" s="13"/>
      <c r="AF2456" s="13"/>
      <c r="AG2456" s="13"/>
    </row>
    <row r="2457" spans="1:33" s="14" customFormat="1" ht="15" customHeight="1">
      <c r="A2457" s="10">
        <v>42907</v>
      </c>
      <c r="B2457" s="3" t="s">
        <v>103</v>
      </c>
      <c r="C2457" s="15" t="s">
        <v>47</v>
      </c>
      <c r="D2457" s="15">
        <v>95</v>
      </c>
      <c r="E2457" s="11">
        <v>7000</v>
      </c>
      <c r="F2457" s="3" t="s">
        <v>8</v>
      </c>
      <c r="G2457" s="46">
        <v>1.5</v>
      </c>
      <c r="H2457" s="3">
        <v>1.5</v>
      </c>
      <c r="I2457" s="46">
        <v>0</v>
      </c>
      <c r="J2457" s="55">
        <v>0</v>
      </c>
      <c r="K2457" s="1">
        <f t="shared" ref="K2457" si="3454">(IF(F2457="SELL",G2457-H2457,IF(F2457="BUY",H2457-G2457)))*E2457</f>
        <v>0</v>
      </c>
      <c r="L2457" s="51">
        <v>0</v>
      </c>
      <c r="M2457" s="52">
        <v>0</v>
      </c>
      <c r="N2457" s="2">
        <f t="shared" si="3439"/>
        <v>0</v>
      </c>
      <c r="O2457" s="2">
        <f t="shared" si="3383"/>
        <v>0</v>
      </c>
      <c r="P2457" s="13"/>
      <c r="Q2457" s="13"/>
      <c r="R2457" s="13"/>
      <c r="S2457" s="13"/>
      <c r="T2457" s="13"/>
      <c r="U2457" s="13"/>
      <c r="V2457" s="13"/>
      <c r="W2457" s="13"/>
      <c r="X2457" s="13"/>
      <c r="Y2457" s="13"/>
      <c r="Z2457" s="13"/>
      <c r="AA2457" s="13"/>
      <c r="AB2457" s="13"/>
      <c r="AC2457" s="13"/>
      <c r="AD2457" s="13"/>
      <c r="AE2457" s="13"/>
      <c r="AF2457" s="13"/>
      <c r="AG2457" s="13"/>
    </row>
    <row r="2458" spans="1:33" s="14" customFormat="1" ht="15" customHeight="1">
      <c r="A2458" s="10">
        <v>42907</v>
      </c>
      <c r="B2458" s="3" t="s">
        <v>38</v>
      </c>
      <c r="C2458" s="15" t="s">
        <v>46</v>
      </c>
      <c r="D2458" s="15">
        <v>7200</v>
      </c>
      <c r="E2458" s="11">
        <v>150</v>
      </c>
      <c r="F2458" s="3" t="s">
        <v>8</v>
      </c>
      <c r="G2458" s="46">
        <v>65</v>
      </c>
      <c r="H2458" s="3">
        <v>49</v>
      </c>
      <c r="I2458" s="46">
        <v>0</v>
      </c>
      <c r="J2458" s="55">
        <v>0</v>
      </c>
      <c r="K2458" s="1">
        <f t="shared" ref="K2458" si="3455">(IF(F2458="SELL",G2458-H2458,IF(F2458="BUY",H2458-G2458)))*E2458</f>
        <v>-2400</v>
      </c>
      <c r="L2458" s="51">
        <v>0</v>
      </c>
      <c r="M2458" s="52">
        <v>0</v>
      </c>
      <c r="N2458" s="2">
        <f t="shared" si="3439"/>
        <v>-16</v>
      </c>
      <c r="O2458" s="2">
        <f t="shared" si="3383"/>
        <v>-2400</v>
      </c>
      <c r="P2458" s="13"/>
      <c r="Q2458" s="13"/>
      <c r="R2458" s="13"/>
      <c r="S2458" s="13"/>
      <c r="T2458" s="13"/>
      <c r="U2458" s="13"/>
      <c r="V2458" s="13"/>
      <c r="W2458" s="13"/>
      <c r="X2458" s="13"/>
      <c r="Y2458" s="13"/>
      <c r="Z2458" s="13"/>
      <c r="AA2458" s="13"/>
      <c r="AB2458" s="13"/>
      <c r="AC2458" s="13"/>
      <c r="AD2458" s="13"/>
      <c r="AE2458" s="13"/>
      <c r="AF2458" s="13"/>
      <c r="AG2458" s="13"/>
    </row>
    <row r="2459" spans="1:33" s="14" customFormat="1" ht="15" customHeight="1">
      <c r="A2459" s="10">
        <v>42907</v>
      </c>
      <c r="B2459" s="3" t="s">
        <v>56</v>
      </c>
      <c r="C2459" s="15" t="s">
        <v>46</v>
      </c>
      <c r="D2459" s="15">
        <v>23500</v>
      </c>
      <c r="E2459" s="11">
        <v>40</v>
      </c>
      <c r="F2459" s="3" t="s">
        <v>8</v>
      </c>
      <c r="G2459" s="46">
        <v>25</v>
      </c>
      <c r="H2459" s="3">
        <v>8</v>
      </c>
      <c r="I2459" s="46">
        <v>0</v>
      </c>
      <c r="J2459" s="55">
        <v>0</v>
      </c>
      <c r="K2459" s="1">
        <f t="shared" ref="K2459" si="3456">(IF(F2459="SELL",G2459-H2459,IF(F2459="BUY",H2459-G2459)))*E2459</f>
        <v>-680</v>
      </c>
      <c r="L2459" s="51">
        <v>0</v>
      </c>
      <c r="M2459" s="52">
        <v>0</v>
      </c>
      <c r="N2459" s="2">
        <f t="shared" si="3439"/>
        <v>-17</v>
      </c>
      <c r="O2459" s="2">
        <f t="shared" si="3383"/>
        <v>-680</v>
      </c>
      <c r="P2459" s="13"/>
      <c r="Q2459" s="13"/>
      <c r="R2459" s="13"/>
      <c r="S2459" s="13"/>
      <c r="T2459" s="13"/>
      <c r="U2459" s="13"/>
      <c r="V2459" s="13"/>
      <c r="W2459" s="13"/>
      <c r="X2459" s="13"/>
      <c r="Y2459" s="13"/>
      <c r="Z2459" s="13"/>
      <c r="AA2459" s="13"/>
      <c r="AB2459" s="13"/>
      <c r="AC2459" s="13"/>
      <c r="AD2459" s="13"/>
      <c r="AE2459" s="13"/>
      <c r="AF2459" s="13"/>
      <c r="AG2459" s="13"/>
    </row>
    <row r="2460" spans="1:33" s="14" customFormat="1" ht="15" customHeight="1">
      <c r="A2460" s="10">
        <v>42907</v>
      </c>
      <c r="B2460" s="3" t="s">
        <v>125</v>
      </c>
      <c r="C2460" s="15" t="s">
        <v>47</v>
      </c>
      <c r="D2460" s="15">
        <v>80</v>
      </c>
      <c r="E2460" s="11">
        <v>9000</v>
      </c>
      <c r="F2460" s="3" t="s">
        <v>8</v>
      </c>
      <c r="G2460" s="46">
        <v>1.7</v>
      </c>
      <c r="H2460" s="3">
        <v>2</v>
      </c>
      <c r="I2460" s="46">
        <v>2.25</v>
      </c>
      <c r="J2460" s="55">
        <v>3</v>
      </c>
      <c r="K2460" s="1">
        <f t="shared" ref="K2460" si="3457">(IF(F2460="SELL",G2460-H2460,IF(F2460="BUY",H2460-G2460)))*E2460</f>
        <v>2700.0000000000005</v>
      </c>
      <c r="L2460" s="51">
        <f t="shared" ref="L2460" si="3458">(IF(F2460="SELL",IF(I2460="",0,H2460-I2460),IF(F2460="BUY",IF(I2460="",0,I2460-H2460))))*E2460</f>
        <v>2250</v>
      </c>
      <c r="M2460" s="52">
        <f>(IF(F2460="SELL",IF(J2460="",0,I2460-J2460),IF(F2460="BUY",IF(J2460="",0,(J2460-I2460)))))*E2460</f>
        <v>6750</v>
      </c>
      <c r="N2460" s="2">
        <f t="shared" si="3439"/>
        <v>1.3</v>
      </c>
      <c r="O2460" s="2">
        <f t="shared" si="3383"/>
        <v>11700</v>
      </c>
      <c r="P2460" s="13"/>
      <c r="Q2460" s="13"/>
      <c r="R2460" s="13"/>
      <c r="S2460" s="13"/>
      <c r="T2460" s="13"/>
      <c r="U2460" s="13"/>
      <c r="V2460" s="13"/>
      <c r="W2460" s="13"/>
      <c r="X2460" s="13"/>
      <c r="Y2460" s="13"/>
      <c r="Z2460" s="13"/>
      <c r="AA2460" s="13"/>
      <c r="AB2460" s="13"/>
      <c r="AC2460" s="13"/>
      <c r="AD2460" s="13"/>
      <c r="AE2460" s="13"/>
      <c r="AF2460" s="13"/>
      <c r="AG2460" s="13"/>
    </row>
    <row r="2461" spans="1:33" s="14" customFormat="1" ht="15" customHeight="1">
      <c r="A2461" s="10">
        <v>42906</v>
      </c>
      <c r="B2461" s="3" t="s">
        <v>56</v>
      </c>
      <c r="C2461" s="15" t="s">
        <v>47</v>
      </c>
      <c r="D2461" s="15">
        <v>23700</v>
      </c>
      <c r="E2461" s="11">
        <v>40</v>
      </c>
      <c r="F2461" s="3" t="s">
        <v>8</v>
      </c>
      <c r="G2461" s="46">
        <v>95</v>
      </c>
      <c r="H2461" s="3">
        <v>105</v>
      </c>
      <c r="I2461" s="46">
        <v>125</v>
      </c>
      <c r="J2461" s="55">
        <v>0</v>
      </c>
      <c r="K2461" s="1">
        <f t="shared" ref="K2461" si="3459">(IF(F2461="SELL",G2461-H2461,IF(F2461="BUY",H2461-G2461)))*E2461</f>
        <v>400</v>
      </c>
      <c r="L2461" s="51">
        <f t="shared" ref="L2461" si="3460">(IF(F2461="SELL",IF(I2461="",0,H2461-I2461),IF(F2461="BUY",IF(I2461="",0,I2461-H2461))))*E2461</f>
        <v>800</v>
      </c>
      <c r="M2461" s="52">
        <v>0</v>
      </c>
      <c r="N2461" s="2">
        <f t="shared" si="3439"/>
        <v>30</v>
      </c>
      <c r="O2461" s="2">
        <f t="shared" si="3383"/>
        <v>1200</v>
      </c>
      <c r="P2461" s="13"/>
      <c r="Q2461" s="13"/>
      <c r="R2461" s="13"/>
      <c r="S2461" s="13"/>
      <c r="T2461" s="13"/>
      <c r="U2461" s="13"/>
      <c r="V2461" s="13"/>
      <c r="W2461" s="13"/>
      <c r="X2461" s="13"/>
      <c r="Y2461" s="13"/>
      <c r="Z2461" s="13"/>
      <c r="AA2461" s="13"/>
      <c r="AB2461" s="13"/>
      <c r="AC2461" s="13"/>
      <c r="AD2461" s="13"/>
      <c r="AE2461" s="13"/>
      <c r="AF2461" s="13"/>
      <c r="AG2461" s="13"/>
    </row>
    <row r="2462" spans="1:33" s="14" customFormat="1" ht="15" customHeight="1">
      <c r="A2462" s="10">
        <v>42906</v>
      </c>
      <c r="B2462" s="3" t="s">
        <v>34</v>
      </c>
      <c r="C2462" s="15" t="s">
        <v>47</v>
      </c>
      <c r="D2462" s="15">
        <v>200</v>
      </c>
      <c r="E2462" s="11">
        <v>3500</v>
      </c>
      <c r="F2462" s="3" t="s">
        <v>8</v>
      </c>
      <c r="G2462" s="46">
        <v>4.5</v>
      </c>
      <c r="H2462" s="3">
        <v>4.9000000000000004</v>
      </c>
      <c r="I2462" s="46">
        <v>0</v>
      </c>
      <c r="J2462" s="55">
        <v>0</v>
      </c>
      <c r="K2462" s="1">
        <f t="shared" ref="K2462" si="3461">(IF(F2462="SELL",G2462-H2462,IF(F2462="BUY",H2462-G2462)))*E2462</f>
        <v>1400.0000000000011</v>
      </c>
      <c r="L2462" s="51">
        <v>0</v>
      </c>
      <c r="M2462" s="52">
        <v>0</v>
      </c>
      <c r="N2462" s="2">
        <f t="shared" si="3439"/>
        <v>0.4000000000000003</v>
      </c>
      <c r="O2462" s="2">
        <f t="shared" si="3383"/>
        <v>1400.0000000000011</v>
      </c>
      <c r="P2462" s="13"/>
      <c r="Q2462" s="13"/>
      <c r="R2462" s="13"/>
      <c r="S2462" s="13"/>
      <c r="T2462" s="13"/>
      <c r="U2462" s="13"/>
      <c r="V2462" s="13"/>
      <c r="W2462" s="13"/>
      <c r="X2462" s="13"/>
      <c r="Y2462" s="13"/>
      <c r="Z2462" s="13"/>
      <c r="AA2462" s="13"/>
      <c r="AB2462" s="13"/>
      <c r="AC2462" s="13"/>
      <c r="AD2462" s="13"/>
      <c r="AE2462" s="13"/>
      <c r="AF2462" s="13"/>
      <c r="AG2462" s="13"/>
    </row>
    <row r="2463" spans="1:33" s="14" customFormat="1" ht="15" customHeight="1">
      <c r="A2463" s="10">
        <v>42905</v>
      </c>
      <c r="B2463" s="3" t="s">
        <v>13</v>
      </c>
      <c r="C2463" s="15" t="s">
        <v>46</v>
      </c>
      <c r="D2463" s="15">
        <v>840</v>
      </c>
      <c r="E2463" s="11">
        <v>600</v>
      </c>
      <c r="F2463" s="3" t="s">
        <v>8</v>
      </c>
      <c r="G2463" s="46">
        <v>12</v>
      </c>
      <c r="H2463" s="3">
        <v>12</v>
      </c>
      <c r="I2463" s="46">
        <v>0</v>
      </c>
      <c r="J2463" s="55">
        <v>0</v>
      </c>
      <c r="K2463" s="1">
        <f t="shared" ref="K2463" si="3462">(IF(F2463="SELL",G2463-H2463,IF(F2463="BUY",H2463-G2463)))*E2463</f>
        <v>0</v>
      </c>
      <c r="L2463" s="51">
        <v>0</v>
      </c>
      <c r="M2463" s="52">
        <v>0</v>
      </c>
      <c r="N2463" s="2">
        <f t="shared" si="3439"/>
        <v>0</v>
      </c>
      <c r="O2463" s="2">
        <f t="shared" si="3383"/>
        <v>0</v>
      </c>
      <c r="P2463" s="13"/>
      <c r="Q2463" s="13"/>
      <c r="R2463" s="13"/>
      <c r="S2463" s="13"/>
      <c r="T2463" s="13"/>
      <c r="U2463" s="13"/>
      <c r="V2463" s="13"/>
      <c r="W2463" s="13"/>
      <c r="X2463" s="13"/>
      <c r="Y2463" s="13"/>
      <c r="Z2463" s="13"/>
      <c r="AA2463" s="13"/>
      <c r="AB2463" s="13"/>
      <c r="AC2463" s="13"/>
      <c r="AD2463" s="13"/>
      <c r="AE2463" s="13"/>
      <c r="AF2463" s="13"/>
      <c r="AG2463" s="13"/>
    </row>
    <row r="2464" spans="1:33" s="14" customFormat="1" ht="15" customHeight="1">
      <c r="A2464" s="10">
        <v>42902</v>
      </c>
      <c r="B2464" s="3" t="s">
        <v>23</v>
      </c>
      <c r="C2464" s="15" t="s">
        <v>47</v>
      </c>
      <c r="D2464" s="15">
        <v>480</v>
      </c>
      <c r="E2464" s="11">
        <v>1300</v>
      </c>
      <c r="F2464" s="3" t="s">
        <v>8</v>
      </c>
      <c r="G2464" s="46">
        <v>17</v>
      </c>
      <c r="H2464" s="3">
        <v>14</v>
      </c>
      <c r="I2464" s="46">
        <v>0</v>
      </c>
      <c r="J2464" s="55">
        <v>0</v>
      </c>
      <c r="K2464" s="1">
        <f t="shared" ref="K2464" si="3463">(IF(F2464="SELL",G2464-H2464,IF(F2464="BUY",H2464-G2464)))*E2464</f>
        <v>-3900</v>
      </c>
      <c r="L2464" s="51">
        <v>0</v>
      </c>
      <c r="M2464" s="52">
        <v>0</v>
      </c>
      <c r="N2464" s="2">
        <f t="shared" si="3439"/>
        <v>-3</v>
      </c>
      <c r="O2464" s="2">
        <f t="shared" ref="O2464:O2527" si="3464">N2464*E2464</f>
        <v>-3900</v>
      </c>
      <c r="P2464" s="13"/>
      <c r="Q2464" s="13"/>
      <c r="R2464" s="13"/>
      <c r="S2464" s="13"/>
      <c r="T2464" s="13"/>
      <c r="U2464" s="13"/>
      <c r="V2464" s="13"/>
      <c r="W2464" s="13"/>
      <c r="X2464" s="13"/>
      <c r="Y2464" s="13"/>
      <c r="Z2464" s="13"/>
      <c r="AA2464" s="13"/>
      <c r="AB2464" s="13"/>
      <c r="AC2464" s="13"/>
      <c r="AD2464" s="13"/>
      <c r="AE2464" s="13"/>
      <c r="AF2464" s="13"/>
      <c r="AG2464" s="13"/>
    </row>
    <row r="2465" spans="1:33" s="14" customFormat="1" ht="15" customHeight="1">
      <c r="A2465" s="10">
        <v>42902</v>
      </c>
      <c r="B2465" s="3" t="s">
        <v>30</v>
      </c>
      <c r="C2465" s="15" t="s">
        <v>47</v>
      </c>
      <c r="D2465" s="15">
        <v>320</v>
      </c>
      <c r="E2465" s="11">
        <v>2500</v>
      </c>
      <c r="F2465" s="3" t="s">
        <v>8</v>
      </c>
      <c r="G2465" s="46">
        <v>4.5</v>
      </c>
      <c r="H2465" s="3">
        <v>4.5</v>
      </c>
      <c r="I2465" s="46">
        <v>0</v>
      </c>
      <c r="J2465" s="55">
        <v>0</v>
      </c>
      <c r="K2465" s="1">
        <f t="shared" ref="K2465" si="3465">(IF(F2465="SELL",G2465-H2465,IF(F2465="BUY",H2465-G2465)))*E2465</f>
        <v>0</v>
      </c>
      <c r="L2465" s="51">
        <v>0</v>
      </c>
      <c r="M2465" s="52">
        <v>0</v>
      </c>
      <c r="N2465" s="2">
        <f t="shared" si="3439"/>
        <v>0</v>
      </c>
      <c r="O2465" s="2">
        <f t="shared" si="3464"/>
        <v>0</v>
      </c>
      <c r="P2465" s="13"/>
      <c r="Q2465" s="13"/>
      <c r="R2465" s="13"/>
      <c r="S2465" s="13"/>
      <c r="T2465" s="13"/>
      <c r="U2465" s="13"/>
      <c r="V2465" s="13"/>
      <c r="W2465" s="13"/>
      <c r="X2465" s="13"/>
      <c r="Y2465" s="13"/>
      <c r="Z2465" s="13"/>
      <c r="AA2465" s="13"/>
      <c r="AB2465" s="13"/>
      <c r="AC2465" s="13"/>
      <c r="AD2465" s="13"/>
      <c r="AE2465" s="13"/>
      <c r="AF2465" s="13"/>
      <c r="AG2465" s="13"/>
    </row>
    <row r="2466" spans="1:33" s="14" customFormat="1" ht="15" customHeight="1">
      <c r="A2466" s="10">
        <v>42902</v>
      </c>
      <c r="B2466" s="3" t="s">
        <v>39</v>
      </c>
      <c r="C2466" s="15" t="s">
        <v>47</v>
      </c>
      <c r="D2466" s="15">
        <v>1400</v>
      </c>
      <c r="E2466" s="11">
        <v>500</v>
      </c>
      <c r="F2466" s="3" t="s">
        <v>8</v>
      </c>
      <c r="G2466" s="46">
        <v>20</v>
      </c>
      <c r="H2466" s="3">
        <v>20</v>
      </c>
      <c r="I2466" s="46">
        <v>0</v>
      </c>
      <c r="J2466" s="55">
        <v>0</v>
      </c>
      <c r="K2466" s="1">
        <f t="shared" ref="K2466" si="3466">(IF(F2466="SELL",G2466-H2466,IF(F2466="BUY",H2466-G2466)))*E2466</f>
        <v>0</v>
      </c>
      <c r="L2466" s="51">
        <v>0</v>
      </c>
      <c r="M2466" s="52">
        <v>0</v>
      </c>
      <c r="N2466" s="2">
        <f t="shared" si="3439"/>
        <v>0</v>
      </c>
      <c r="O2466" s="2">
        <f t="shared" si="3464"/>
        <v>0</v>
      </c>
      <c r="P2466" s="13"/>
      <c r="Q2466" s="13"/>
      <c r="R2466" s="13"/>
      <c r="S2466" s="13"/>
      <c r="T2466" s="13"/>
      <c r="U2466" s="13"/>
      <c r="V2466" s="13"/>
      <c r="W2466" s="13"/>
      <c r="X2466" s="13"/>
      <c r="Y2466" s="13"/>
      <c r="Z2466" s="13"/>
      <c r="AA2466" s="13"/>
      <c r="AB2466" s="13"/>
      <c r="AC2466" s="13"/>
      <c r="AD2466" s="13"/>
      <c r="AE2466" s="13"/>
      <c r="AF2466" s="13"/>
      <c r="AG2466" s="13"/>
    </row>
    <row r="2467" spans="1:33" s="14" customFormat="1" ht="15" customHeight="1">
      <c r="A2467" s="10">
        <v>42902</v>
      </c>
      <c r="B2467" s="3" t="s">
        <v>111</v>
      </c>
      <c r="C2467" s="15" t="s">
        <v>47</v>
      </c>
      <c r="D2467" s="15">
        <v>1100</v>
      </c>
      <c r="E2467" s="11">
        <v>550</v>
      </c>
      <c r="F2467" s="3" t="s">
        <v>8</v>
      </c>
      <c r="G2467" s="46">
        <v>22</v>
      </c>
      <c r="H2467" s="3">
        <v>26</v>
      </c>
      <c r="I2467" s="46">
        <v>30</v>
      </c>
      <c r="J2467" s="55">
        <v>36</v>
      </c>
      <c r="K2467" s="1">
        <f t="shared" ref="K2467" si="3467">(IF(F2467="SELL",G2467-H2467,IF(F2467="BUY",H2467-G2467)))*E2467</f>
        <v>2200</v>
      </c>
      <c r="L2467" s="51">
        <f t="shared" ref="L2467" si="3468">(IF(F2467="SELL",IF(I2467="",0,H2467-I2467),IF(F2467="BUY",IF(I2467="",0,I2467-H2467))))*E2467</f>
        <v>2200</v>
      </c>
      <c r="M2467" s="52">
        <f>(IF(F2467="SELL",IF(J2467="",0,I2467-J2467),IF(F2467="BUY",IF(J2467="",0,(J2467-I2467)))))*E2467</f>
        <v>3300</v>
      </c>
      <c r="N2467" s="2">
        <f t="shared" si="3439"/>
        <v>14</v>
      </c>
      <c r="O2467" s="2">
        <f t="shared" si="3464"/>
        <v>7700</v>
      </c>
      <c r="P2467" s="13"/>
      <c r="Q2467" s="13"/>
      <c r="R2467" s="13"/>
      <c r="S2467" s="13"/>
      <c r="T2467" s="13"/>
      <c r="U2467" s="13"/>
      <c r="V2467" s="13"/>
      <c r="W2467" s="13"/>
      <c r="X2467" s="13"/>
      <c r="Y2467" s="13"/>
      <c r="Z2467" s="13"/>
      <c r="AA2467" s="13"/>
      <c r="AB2467" s="13"/>
      <c r="AC2467" s="13"/>
      <c r="AD2467" s="13"/>
      <c r="AE2467" s="13"/>
      <c r="AF2467" s="13"/>
      <c r="AG2467" s="13"/>
    </row>
    <row r="2468" spans="1:33" s="14" customFormat="1" ht="15" customHeight="1">
      <c r="A2468" s="10">
        <v>42902</v>
      </c>
      <c r="B2468" s="3" t="s">
        <v>83</v>
      </c>
      <c r="C2468" s="15" t="s">
        <v>47</v>
      </c>
      <c r="D2468" s="15">
        <v>23500</v>
      </c>
      <c r="E2468" s="11">
        <v>40</v>
      </c>
      <c r="F2468" s="3" t="s">
        <v>8</v>
      </c>
      <c r="G2468" s="46">
        <v>95</v>
      </c>
      <c r="H2468" s="3">
        <v>105</v>
      </c>
      <c r="I2468" s="46">
        <v>0</v>
      </c>
      <c r="J2468" s="55">
        <v>0</v>
      </c>
      <c r="K2468" s="1">
        <f t="shared" ref="K2468" si="3469">(IF(F2468="SELL",G2468-H2468,IF(F2468="BUY",H2468-G2468)))*E2468</f>
        <v>400</v>
      </c>
      <c r="L2468" s="51">
        <v>0</v>
      </c>
      <c r="M2468" s="52">
        <v>0</v>
      </c>
      <c r="N2468" s="2">
        <f t="shared" si="3439"/>
        <v>10</v>
      </c>
      <c r="O2468" s="2">
        <f t="shared" si="3464"/>
        <v>400</v>
      </c>
      <c r="P2468" s="13"/>
      <c r="Q2468" s="13"/>
      <c r="R2468" s="13"/>
      <c r="S2468" s="13"/>
      <c r="T2468" s="13"/>
      <c r="U2468" s="13"/>
      <c r="V2468" s="13"/>
      <c r="W2468" s="13"/>
      <c r="X2468" s="13"/>
      <c r="Y2468" s="13"/>
      <c r="Z2468" s="13"/>
      <c r="AA2468" s="13"/>
      <c r="AB2468" s="13"/>
      <c r="AC2468" s="13"/>
      <c r="AD2468" s="13"/>
      <c r="AE2468" s="13"/>
      <c r="AF2468" s="13"/>
      <c r="AG2468" s="13"/>
    </row>
    <row r="2469" spans="1:33" s="14" customFormat="1" ht="15" customHeight="1">
      <c r="A2469" s="10">
        <v>42902</v>
      </c>
      <c r="B2469" s="3" t="s">
        <v>38</v>
      </c>
      <c r="C2469" s="15" t="s">
        <v>47</v>
      </c>
      <c r="D2469" s="15">
        <v>7200</v>
      </c>
      <c r="E2469" s="11">
        <v>150</v>
      </c>
      <c r="F2469" s="3" t="s">
        <v>8</v>
      </c>
      <c r="G2469" s="46">
        <v>52</v>
      </c>
      <c r="H2469" s="3">
        <v>52</v>
      </c>
      <c r="I2469" s="46">
        <v>0</v>
      </c>
      <c r="J2469" s="55">
        <v>0</v>
      </c>
      <c r="K2469" s="1">
        <f t="shared" ref="K2469" si="3470">(IF(F2469="SELL",G2469-H2469,IF(F2469="BUY",H2469-G2469)))*E2469</f>
        <v>0</v>
      </c>
      <c r="L2469" s="51">
        <v>0</v>
      </c>
      <c r="M2469" s="52">
        <v>0</v>
      </c>
      <c r="N2469" s="2">
        <f t="shared" si="3439"/>
        <v>0</v>
      </c>
      <c r="O2469" s="2">
        <f t="shared" si="3464"/>
        <v>0</v>
      </c>
      <c r="P2469" s="13"/>
      <c r="Q2469" s="13"/>
      <c r="R2469" s="13"/>
      <c r="S2469" s="13"/>
      <c r="T2469" s="13"/>
      <c r="U2469" s="13"/>
      <c r="V2469" s="13"/>
      <c r="W2469" s="13"/>
      <c r="X2469" s="13"/>
      <c r="Y2469" s="13"/>
      <c r="Z2469" s="13"/>
      <c r="AA2469" s="13"/>
      <c r="AB2469" s="13"/>
      <c r="AC2469" s="13"/>
      <c r="AD2469" s="13"/>
      <c r="AE2469" s="13"/>
      <c r="AF2469" s="13"/>
      <c r="AG2469" s="13"/>
    </row>
    <row r="2470" spans="1:33" s="14" customFormat="1" ht="15" customHeight="1">
      <c r="A2470" s="10">
        <v>42901</v>
      </c>
      <c r="B2470" s="3" t="s">
        <v>76</v>
      </c>
      <c r="C2470" s="15" t="s">
        <v>47</v>
      </c>
      <c r="D2470" s="15">
        <v>9600</v>
      </c>
      <c r="E2470" s="11">
        <v>75</v>
      </c>
      <c r="F2470" s="3" t="s">
        <v>8</v>
      </c>
      <c r="G2470" s="46">
        <v>75</v>
      </c>
      <c r="H2470" s="3">
        <v>75</v>
      </c>
      <c r="I2470" s="46">
        <v>0</v>
      </c>
      <c r="J2470" s="55">
        <v>0</v>
      </c>
      <c r="K2470" s="1">
        <f t="shared" ref="K2470" si="3471">(IF(F2470="SELL",G2470-H2470,IF(F2470="BUY",H2470-G2470)))*E2470</f>
        <v>0</v>
      </c>
      <c r="L2470" s="51">
        <v>0</v>
      </c>
      <c r="M2470" s="52">
        <v>0</v>
      </c>
      <c r="N2470" s="2">
        <f t="shared" si="3439"/>
        <v>0</v>
      </c>
      <c r="O2470" s="2">
        <f t="shared" si="3464"/>
        <v>0</v>
      </c>
      <c r="P2470" s="13"/>
      <c r="Q2470" s="13"/>
      <c r="R2470" s="13"/>
      <c r="S2470" s="13"/>
      <c r="T2470" s="13"/>
      <c r="U2470" s="13"/>
      <c r="V2470" s="13"/>
      <c r="W2470" s="13"/>
      <c r="X2470" s="13"/>
      <c r="Y2470" s="13"/>
      <c r="Z2470" s="13"/>
      <c r="AA2470" s="13"/>
      <c r="AB2470" s="13"/>
      <c r="AC2470" s="13"/>
      <c r="AD2470" s="13"/>
      <c r="AE2470" s="13"/>
      <c r="AF2470" s="13"/>
      <c r="AG2470" s="13"/>
    </row>
    <row r="2471" spans="1:33" s="14" customFormat="1" ht="15" customHeight="1">
      <c r="A2471" s="10">
        <v>42901</v>
      </c>
      <c r="B2471" s="3" t="s">
        <v>33</v>
      </c>
      <c r="C2471" s="15" t="s">
        <v>47</v>
      </c>
      <c r="D2471" s="15">
        <v>620</v>
      </c>
      <c r="E2471" s="11">
        <v>1700</v>
      </c>
      <c r="F2471" s="3" t="s">
        <v>8</v>
      </c>
      <c r="G2471" s="46">
        <v>12</v>
      </c>
      <c r="H2471" s="3">
        <v>12</v>
      </c>
      <c r="I2471" s="46">
        <v>0</v>
      </c>
      <c r="J2471" s="55">
        <v>0</v>
      </c>
      <c r="K2471" s="1">
        <f t="shared" ref="K2471" si="3472">(IF(F2471="SELL",G2471-H2471,IF(F2471="BUY",H2471-G2471)))*E2471</f>
        <v>0</v>
      </c>
      <c r="L2471" s="51">
        <v>0</v>
      </c>
      <c r="M2471" s="52">
        <v>0</v>
      </c>
      <c r="N2471" s="2">
        <f t="shared" si="3439"/>
        <v>0</v>
      </c>
      <c r="O2471" s="2">
        <f t="shared" si="3464"/>
        <v>0</v>
      </c>
      <c r="P2471" s="13"/>
      <c r="Q2471" s="13"/>
      <c r="R2471" s="13"/>
      <c r="S2471" s="13"/>
      <c r="T2471" s="13"/>
      <c r="U2471" s="13"/>
      <c r="V2471" s="13"/>
      <c r="W2471" s="13"/>
      <c r="X2471" s="13"/>
      <c r="Y2471" s="13"/>
      <c r="Z2471" s="13"/>
      <c r="AA2471" s="13"/>
      <c r="AB2471" s="13"/>
      <c r="AC2471" s="13"/>
      <c r="AD2471" s="13"/>
      <c r="AE2471" s="13"/>
      <c r="AF2471" s="13"/>
      <c r="AG2471" s="13"/>
    </row>
    <row r="2472" spans="1:33" s="14" customFormat="1" ht="15" customHeight="1">
      <c r="A2472" s="10">
        <v>42901</v>
      </c>
      <c r="B2472" s="3" t="s">
        <v>79</v>
      </c>
      <c r="C2472" s="15" t="s">
        <v>47</v>
      </c>
      <c r="D2472" s="15">
        <v>210</v>
      </c>
      <c r="E2472" s="11">
        <v>3500</v>
      </c>
      <c r="F2472" s="3" t="s">
        <v>8</v>
      </c>
      <c r="G2472" s="46">
        <v>9</v>
      </c>
      <c r="H2472" s="3">
        <v>9</v>
      </c>
      <c r="I2472" s="46">
        <v>0</v>
      </c>
      <c r="J2472" s="55">
        <v>0</v>
      </c>
      <c r="K2472" s="1">
        <f t="shared" ref="K2472" si="3473">(IF(F2472="SELL",G2472-H2472,IF(F2472="BUY",H2472-G2472)))*E2472</f>
        <v>0</v>
      </c>
      <c r="L2472" s="51">
        <v>0</v>
      </c>
      <c r="M2472" s="52">
        <v>0</v>
      </c>
      <c r="N2472" s="2">
        <f t="shared" si="3439"/>
        <v>0</v>
      </c>
      <c r="O2472" s="2">
        <f t="shared" si="3464"/>
        <v>0</v>
      </c>
      <c r="P2472" s="13"/>
      <c r="Q2472" s="13"/>
      <c r="R2472" s="13"/>
      <c r="S2472" s="13"/>
      <c r="T2472" s="13"/>
      <c r="U2472" s="13"/>
      <c r="V2472" s="13"/>
      <c r="W2472" s="13"/>
      <c r="X2472" s="13"/>
      <c r="Y2472" s="13"/>
      <c r="Z2472" s="13"/>
      <c r="AA2472" s="13"/>
      <c r="AB2472" s="13"/>
      <c r="AC2472" s="13"/>
      <c r="AD2472" s="13"/>
      <c r="AE2472" s="13"/>
      <c r="AF2472" s="13"/>
      <c r="AG2472" s="13"/>
    </row>
    <row r="2473" spans="1:33" s="14" customFormat="1" ht="15" customHeight="1">
      <c r="A2473" s="10">
        <v>42901</v>
      </c>
      <c r="B2473" s="3" t="s">
        <v>32</v>
      </c>
      <c r="C2473" s="15" t="s">
        <v>47</v>
      </c>
      <c r="D2473" s="15">
        <v>23500</v>
      </c>
      <c r="E2473" s="11">
        <v>700</v>
      </c>
      <c r="F2473" s="3" t="s">
        <v>8</v>
      </c>
      <c r="G2473" s="46">
        <v>12</v>
      </c>
      <c r="H2473" s="3">
        <v>14</v>
      </c>
      <c r="I2473" s="46">
        <v>18</v>
      </c>
      <c r="J2473" s="55">
        <v>0</v>
      </c>
      <c r="K2473" s="1">
        <f t="shared" ref="K2473" si="3474">(IF(F2473="SELL",G2473-H2473,IF(F2473="BUY",H2473-G2473)))*E2473</f>
        <v>1400</v>
      </c>
      <c r="L2473" s="51">
        <f t="shared" ref="L2473:L2476" si="3475">(IF(F2473="SELL",IF(I2473="",0,H2473-I2473),IF(F2473="BUY",IF(I2473="",0,I2473-H2473))))*E2473</f>
        <v>2800</v>
      </c>
      <c r="M2473" s="52">
        <v>0</v>
      </c>
      <c r="N2473" s="2">
        <f t="shared" si="3439"/>
        <v>6</v>
      </c>
      <c r="O2473" s="2">
        <f t="shared" si="3464"/>
        <v>4200</v>
      </c>
      <c r="P2473" s="13"/>
      <c r="Q2473" s="13"/>
      <c r="R2473" s="13"/>
      <c r="S2473" s="13"/>
      <c r="T2473" s="13"/>
      <c r="U2473" s="13"/>
      <c r="V2473" s="13"/>
      <c r="W2473" s="13"/>
      <c r="X2473" s="13"/>
      <c r="Y2473" s="13"/>
      <c r="Z2473" s="13"/>
      <c r="AA2473" s="13"/>
      <c r="AB2473" s="13"/>
      <c r="AC2473" s="13"/>
      <c r="AD2473" s="13"/>
      <c r="AE2473" s="13"/>
      <c r="AF2473" s="13"/>
      <c r="AG2473" s="13"/>
    </row>
    <row r="2474" spans="1:33" s="14" customFormat="1" ht="15" customHeight="1">
      <c r="A2474" s="10">
        <v>42901</v>
      </c>
      <c r="B2474" s="3" t="s">
        <v>83</v>
      </c>
      <c r="C2474" s="15" t="s">
        <v>47</v>
      </c>
      <c r="D2474" s="15">
        <v>23500</v>
      </c>
      <c r="E2474" s="11">
        <v>40</v>
      </c>
      <c r="F2474" s="3" t="s">
        <v>8</v>
      </c>
      <c r="G2474" s="46">
        <v>25</v>
      </c>
      <c r="H2474" s="3">
        <v>5</v>
      </c>
      <c r="I2474" s="46">
        <v>0</v>
      </c>
      <c r="J2474" s="55">
        <v>0</v>
      </c>
      <c r="K2474" s="1">
        <f t="shared" ref="K2474" si="3476">(IF(F2474="SELL",G2474-H2474,IF(F2474="BUY",H2474-G2474)))*E2474</f>
        <v>-800</v>
      </c>
      <c r="L2474" s="51">
        <v>0</v>
      </c>
      <c r="M2474" s="52">
        <v>0</v>
      </c>
      <c r="N2474" s="2">
        <f t="shared" si="3439"/>
        <v>-20</v>
      </c>
      <c r="O2474" s="2">
        <f t="shared" si="3464"/>
        <v>-800</v>
      </c>
      <c r="P2474" s="13"/>
      <c r="Q2474" s="13"/>
      <c r="R2474" s="13"/>
      <c r="S2474" s="13"/>
      <c r="T2474" s="13"/>
      <c r="U2474" s="13"/>
      <c r="V2474" s="13"/>
      <c r="W2474" s="13"/>
      <c r="X2474" s="13"/>
      <c r="Y2474" s="13"/>
      <c r="Z2474" s="13"/>
      <c r="AA2474" s="13"/>
      <c r="AB2474" s="13"/>
      <c r="AC2474" s="13"/>
      <c r="AD2474" s="13"/>
      <c r="AE2474" s="13"/>
      <c r="AF2474" s="13"/>
      <c r="AG2474" s="13"/>
    </row>
    <row r="2475" spans="1:33" s="14" customFormat="1" ht="15" customHeight="1">
      <c r="A2475" s="10">
        <v>42901</v>
      </c>
      <c r="B2475" s="3" t="s">
        <v>30</v>
      </c>
      <c r="C2475" s="15" t="s">
        <v>47</v>
      </c>
      <c r="D2475" s="15">
        <v>320</v>
      </c>
      <c r="E2475" s="11">
        <v>2500</v>
      </c>
      <c r="F2475" s="3" t="s">
        <v>8</v>
      </c>
      <c r="G2475" s="46">
        <v>6</v>
      </c>
      <c r="H2475" s="3">
        <v>6.6</v>
      </c>
      <c r="I2475" s="46">
        <v>7.8</v>
      </c>
      <c r="J2475" s="55">
        <v>0</v>
      </c>
      <c r="K2475" s="1">
        <f t="shared" ref="K2475" si="3477">(IF(F2475="SELL",G2475-H2475,IF(F2475="BUY",H2475-G2475)))*E2475</f>
        <v>1499.9999999999991</v>
      </c>
      <c r="L2475" s="51">
        <f t="shared" si="3475"/>
        <v>3000.0000000000005</v>
      </c>
      <c r="M2475" s="52">
        <v>0</v>
      </c>
      <c r="N2475" s="2">
        <f t="shared" si="3439"/>
        <v>1.8</v>
      </c>
      <c r="O2475" s="2">
        <f t="shared" si="3464"/>
        <v>4500</v>
      </c>
      <c r="P2475" s="13"/>
      <c r="Q2475" s="13"/>
      <c r="R2475" s="13"/>
      <c r="S2475" s="13"/>
      <c r="T2475" s="13"/>
      <c r="U2475" s="13"/>
      <c r="V2475" s="13"/>
      <c r="W2475" s="13"/>
      <c r="X2475" s="13"/>
      <c r="Y2475" s="13"/>
      <c r="Z2475" s="13"/>
      <c r="AA2475" s="13"/>
      <c r="AB2475" s="13"/>
      <c r="AC2475" s="13"/>
      <c r="AD2475" s="13"/>
      <c r="AE2475" s="13"/>
      <c r="AF2475" s="13"/>
      <c r="AG2475" s="13"/>
    </row>
    <row r="2476" spans="1:33" s="14" customFormat="1" ht="15" customHeight="1">
      <c r="A2476" s="10">
        <v>42900</v>
      </c>
      <c r="B2476" s="3" t="s">
        <v>102</v>
      </c>
      <c r="C2476" s="15" t="s">
        <v>47</v>
      </c>
      <c r="D2476" s="15">
        <v>350</v>
      </c>
      <c r="E2476" s="11">
        <v>3084</v>
      </c>
      <c r="F2476" s="3" t="s">
        <v>8</v>
      </c>
      <c r="G2476" s="46">
        <v>11</v>
      </c>
      <c r="H2476" s="3">
        <v>11.5</v>
      </c>
      <c r="I2476" s="46">
        <v>12.5</v>
      </c>
      <c r="J2476" s="55">
        <v>0</v>
      </c>
      <c r="K2476" s="1">
        <f t="shared" ref="K2476" si="3478">(IF(F2476="SELL",G2476-H2476,IF(F2476="BUY",H2476-G2476)))*E2476</f>
        <v>1542</v>
      </c>
      <c r="L2476" s="51">
        <f t="shared" si="3475"/>
        <v>3084</v>
      </c>
      <c r="M2476" s="52">
        <v>0</v>
      </c>
      <c r="N2476" s="2">
        <f t="shared" si="3439"/>
        <v>1.5</v>
      </c>
      <c r="O2476" s="2">
        <f t="shared" si="3464"/>
        <v>4626</v>
      </c>
      <c r="P2476" s="13"/>
      <c r="Q2476" s="13"/>
      <c r="R2476" s="13"/>
      <c r="S2476" s="13"/>
      <c r="T2476" s="13"/>
      <c r="U2476" s="13"/>
      <c r="V2476" s="13"/>
      <c r="W2476" s="13"/>
      <c r="X2476" s="13"/>
      <c r="Y2476" s="13"/>
      <c r="Z2476" s="13"/>
      <c r="AA2476" s="13"/>
      <c r="AB2476" s="13"/>
      <c r="AC2476" s="13"/>
      <c r="AD2476" s="13"/>
      <c r="AE2476" s="13"/>
      <c r="AF2476" s="13"/>
      <c r="AG2476" s="13"/>
    </row>
    <row r="2477" spans="1:33" s="14" customFormat="1" ht="15" customHeight="1">
      <c r="A2477" s="10">
        <v>42900</v>
      </c>
      <c r="B2477" s="3" t="s">
        <v>83</v>
      </c>
      <c r="C2477" s="15" t="s">
        <v>47</v>
      </c>
      <c r="D2477" s="15">
        <v>23600</v>
      </c>
      <c r="E2477" s="11">
        <v>40</v>
      </c>
      <c r="F2477" s="3" t="s">
        <v>8</v>
      </c>
      <c r="G2477" s="46">
        <v>60</v>
      </c>
      <c r="H2477" s="3">
        <v>30</v>
      </c>
      <c r="I2477" s="46">
        <v>0</v>
      </c>
      <c r="J2477" s="55">
        <v>0</v>
      </c>
      <c r="K2477" s="1">
        <f t="shared" ref="K2477" si="3479">(IF(F2477="SELL",G2477-H2477,IF(F2477="BUY",H2477-G2477)))*E2477</f>
        <v>-1200</v>
      </c>
      <c r="L2477" s="51">
        <v>0</v>
      </c>
      <c r="M2477" s="52">
        <v>0</v>
      </c>
      <c r="N2477" s="2">
        <f t="shared" si="3439"/>
        <v>-30</v>
      </c>
      <c r="O2477" s="2">
        <f t="shared" si="3464"/>
        <v>-1200</v>
      </c>
      <c r="P2477" s="13"/>
      <c r="Q2477" s="13"/>
      <c r="R2477" s="13"/>
      <c r="S2477" s="13"/>
      <c r="T2477" s="13"/>
      <c r="U2477" s="13"/>
      <c r="V2477" s="13"/>
      <c r="W2477" s="13"/>
      <c r="X2477" s="13"/>
      <c r="Y2477" s="13"/>
      <c r="Z2477" s="13"/>
      <c r="AA2477" s="13"/>
      <c r="AB2477" s="13"/>
      <c r="AC2477" s="13"/>
      <c r="AD2477" s="13"/>
      <c r="AE2477" s="13"/>
      <c r="AF2477" s="13"/>
      <c r="AG2477" s="13"/>
    </row>
    <row r="2478" spans="1:33" s="14" customFormat="1" ht="15" customHeight="1">
      <c r="A2478" s="10">
        <v>42900</v>
      </c>
      <c r="B2478" s="3" t="s">
        <v>25</v>
      </c>
      <c r="C2478" s="15" t="s">
        <v>47</v>
      </c>
      <c r="D2478" s="15">
        <v>145</v>
      </c>
      <c r="E2478" s="11">
        <v>5000</v>
      </c>
      <c r="F2478" s="3" t="s">
        <v>8</v>
      </c>
      <c r="G2478" s="46">
        <v>2.5</v>
      </c>
      <c r="H2478" s="3">
        <v>2.5</v>
      </c>
      <c r="I2478" s="46">
        <v>0</v>
      </c>
      <c r="J2478" s="55">
        <v>0</v>
      </c>
      <c r="K2478" s="1">
        <f t="shared" ref="K2478" si="3480">(IF(F2478="SELL",G2478-H2478,IF(F2478="BUY",H2478-G2478)))*E2478</f>
        <v>0</v>
      </c>
      <c r="L2478" s="51">
        <v>0</v>
      </c>
      <c r="M2478" s="52">
        <v>0</v>
      </c>
      <c r="N2478" s="2">
        <f t="shared" si="3439"/>
        <v>0</v>
      </c>
      <c r="O2478" s="2">
        <f t="shared" si="3464"/>
        <v>0</v>
      </c>
      <c r="P2478" s="13"/>
      <c r="Q2478" s="13"/>
      <c r="R2478" s="13"/>
      <c r="S2478" s="13"/>
      <c r="T2478" s="13"/>
      <c r="U2478" s="13"/>
      <c r="V2478" s="13"/>
      <c r="W2478" s="13"/>
      <c r="X2478" s="13"/>
      <c r="Y2478" s="13"/>
      <c r="Z2478" s="13"/>
      <c r="AA2478" s="13"/>
      <c r="AB2478" s="13"/>
      <c r="AC2478" s="13"/>
      <c r="AD2478" s="13"/>
      <c r="AE2478" s="13"/>
      <c r="AF2478" s="13"/>
      <c r="AG2478" s="13"/>
    </row>
    <row r="2479" spans="1:33" s="14" customFormat="1" ht="15" customHeight="1">
      <c r="A2479" s="10">
        <v>42899</v>
      </c>
      <c r="B2479" s="3" t="s">
        <v>33</v>
      </c>
      <c r="C2479" s="15" t="s">
        <v>47</v>
      </c>
      <c r="D2479" s="15">
        <v>600</v>
      </c>
      <c r="E2479" s="11">
        <v>1500</v>
      </c>
      <c r="F2479" s="3" t="s">
        <v>8</v>
      </c>
      <c r="G2479" s="46">
        <v>18</v>
      </c>
      <c r="H2479" s="3">
        <v>19</v>
      </c>
      <c r="I2479" s="46">
        <v>21</v>
      </c>
      <c r="J2479" s="55">
        <v>0</v>
      </c>
      <c r="K2479" s="1">
        <f t="shared" ref="K2479" si="3481">(IF(F2479="SELL",G2479-H2479,IF(F2479="BUY",H2479-G2479)))*E2479</f>
        <v>1500</v>
      </c>
      <c r="L2479" s="51">
        <f t="shared" ref="L2479" si="3482">(IF(F2479="SELL",IF(I2479="",0,H2479-I2479),IF(F2479="BUY",IF(I2479="",0,I2479-H2479))))*E2479</f>
        <v>3000</v>
      </c>
      <c r="M2479" s="52">
        <v>0</v>
      </c>
      <c r="N2479" s="2">
        <f t="shared" si="3439"/>
        <v>3</v>
      </c>
      <c r="O2479" s="2">
        <f t="shared" si="3464"/>
        <v>4500</v>
      </c>
      <c r="P2479" s="13"/>
      <c r="Q2479" s="13"/>
      <c r="R2479" s="13"/>
      <c r="S2479" s="13"/>
      <c r="T2479" s="13"/>
      <c r="U2479" s="13"/>
      <c r="V2479" s="13"/>
      <c r="W2479" s="13"/>
      <c r="X2479" s="13"/>
      <c r="Y2479" s="13"/>
      <c r="Z2479" s="13"/>
      <c r="AA2479" s="13"/>
      <c r="AB2479" s="13"/>
      <c r="AC2479" s="13"/>
      <c r="AD2479" s="13"/>
      <c r="AE2479" s="13"/>
      <c r="AF2479" s="13"/>
      <c r="AG2479" s="13"/>
    </row>
    <row r="2480" spans="1:33" s="14" customFormat="1" ht="15" customHeight="1">
      <c r="A2480" s="10">
        <v>42899</v>
      </c>
      <c r="B2480" s="3" t="s">
        <v>83</v>
      </c>
      <c r="C2480" s="15" t="s">
        <v>47</v>
      </c>
      <c r="D2480" s="15">
        <v>23600</v>
      </c>
      <c r="E2480" s="11">
        <v>40</v>
      </c>
      <c r="F2480" s="3" t="s">
        <v>8</v>
      </c>
      <c r="G2480" s="46">
        <v>70</v>
      </c>
      <c r="H2480" s="3">
        <v>80</v>
      </c>
      <c r="I2480" s="46">
        <v>0</v>
      </c>
      <c r="J2480" s="55">
        <v>0</v>
      </c>
      <c r="K2480" s="1">
        <f t="shared" ref="K2480" si="3483">(IF(F2480="SELL",G2480-H2480,IF(F2480="BUY",H2480-G2480)))*E2480</f>
        <v>400</v>
      </c>
      <c r="L2480" s="51">
        <v>0</v>
      </c>
      <c r="M2480" s="52">
        <f>(IF(F2480="SELL",IF(J2480="",0,I2480-J2480),IF(F2480="BUY",IF(J2480="",0,(J2480-I2480)))))*E2480</f>
        <v>0</v>
      </c>
      <c r="N2480" s="2">
        <f t="shared" si="3439"/>
        <v>10</v>
      </c>
      <c r="O2480" s="2">
        <f t="shared" si="3464"/>
        <v>400</v>
      </c>
      <c r="P2480" s="13"/>
      <c r="Q2480" s="13"/>
      <c r="R2480" s="13"/>
      <c r="S2480" s="13"/>
      <c r="T2480" s="13"/>
      <c r="U2480" s="13"/>
      <c r="V2480" s="13"/>
      <c r="W2480" s="13"/>
      <c r="X2480" s="13"/>
      <c r="Y2480" s="13"/>
      <c r="Z2480" s="13"/>
      <c r="AA2480" s="13"/>
      <c r="AB2480" s="13"/>
      <c r="AC2480" s="13"/>
      <c r="AD2480" s="13"/>
      <c r="AE2480" s="13"/>
      <c r="AF2480" s="13"/>
      <c r="AG2480" s="13"/>
    </row>
    <row r="2481" spans="1:33" s="14" customFormat="1" ht="15" customHeight="1">
      <c r="A2481" s="10">
        <v>42899</v>
      </c>
      <c r="B2481" s="3" t="s">
        <v>30</v>
      </c>
      <c r="C2481" s="15" t="s">
        <v>47</v>
      </c>
      <c r="D2481" s="15">
        <v>320</v>
      </c>
      <c r="E2481" s="11">
        <v>2500</v>
      </c>
      <c r="F2481" s="3" t="s">
        <v>8</v>
      </c>
      <c r="G2481" s="46">
        <v>8</v>
      </c>
      <c r="H2481" s="3">
        <v>8.6</v>
      </c>
      <c r="I2481" s="46">
        <v>0</v>
      </c>
      <c r="J2481" s="55">
        <v>0</v>
      </c>
      <c r="K2481" s="1">
        <f t="shared" ref="K2481" si="3484">(IF(F2481="SELL",G2481-H2481,IF(F2481="BUY",H2481-G2481)))*E2481</f>
        <v>1499.9999999999991</v>
      </c>
      <c r="L2481" s="51">
        <v>0</v>
      </c>
      <c r="M2481" s="52">
        <f>(IF(F2481="SELL",IF(J2481="",0,I2481-J2481),IF(F2481="BUY",IF(J2481="",0,(J2481-I2481)))))*E2481</f>
        <v>0</v>
      </c>
      <c r="N2481" s="2">
        <f t="shared" si="3439"/>
        <v>0.59999999999999964</v>
      </c>
      <c r="O2481" s="2">
        <f t="shared" si="3464"/>
        <v>1499.9999999999991</v>
      </c>
      <c r="P2481" s="13"/>
      <c r="Q2481" s="13"/>
      <c r="R2481" s="13"/>
      <c r="S2481" s="13"/>
      <c r="T2481" s="13"/>
      <c r="U2481" s="13"/>
      <c r="V2481" s="13"/>
      <c r="W2481" s="13"/>
      <c r="X2481" s="13"/>
      <c r="Y2481" s="13"/>
      <c r="Z2481" s="13"/>
      <c r="AA2481" s="13"/>
      <c r="AB2481" s="13"/>
      <c r="AC2481" s="13"/>
      <c r="AD2481" s="13"/>
      <c r="AE2481" s="13"/>
      <c r="AF2481" s="13"/>
      <c r="AG2481" s="13"/>
    </row>
    <row r="2482" spans="1:33" s="14" customFormat="1" ht="15" customHeight="1">
      <c r="A2482" s="10">
        <v>42895</v>
      </c>
      <c r="B2482" s="3" t="s">
        <v>38</v>
      </c>
      <c r="C2482" s="15" t="s">
        <v>47</v>
      </c>
      <c r="D2482" s="15">
        <v>7400</v>
      </c>
      <c r="E2482" s="11">
        <v>150</v>
      </c>
      <c r="F2482" s="3" t="s">
        <v>8</v>
      </c>
      <c r="G2482" s="46">
        <v>115</v>
      </c>
      <c r="H2482" s="3">
        <v>125</v>
      </c>
      <c r="I2482" s="46">
        <v>135</v>
      </c>
      <c r="J2482" s="55">
        <v>150</v>
      </c>
      <c r="K2482" s="1">
        <f t="shared" ref="K2482" si="3485">(IF(F2482="SELL",G2482-H2482,IF(F2482="BUY",H2482-G2482)))*E2482</f>
        <v>1500</v>
      </c>
      <c r="L2482" s="51">
        <f t="shared" ref="L2482" si="3486">(IF(F2482="SELL",IF(I2482="",0,H2482-I2482),IF(F2482="BUY",IF(I2482="",0,I2482-H2482))))*E2482</f>
        <v>1500</v>
      </c>
      <c r="M2482" s="52">
        <f>(IF(F2482="SELL",IF(J2482="",0,I2482-J2482),IF(F2482="BUY",IF(J2482="",0,(J2482-I2482)))))*E2482</f>
        <v>2250</v>
      </c>
      <c r="N2482" s="2">
        <f t="shared" si="3439"/>
        <v>35</v>
      </c>
      <c r="O2482" s="2">
        <f t="shared" si="3464"/>
        <v>5250</v>
      </c>
      <c r="P2482" s="13"/>
      <c r="Q2482" s="13"/>
      <c r="R2482" s="13"/>
      <c r="S2482" s="13"/>
      <c r="T2482" s="13"/>
      <c r="U2482" s="13"/>
      <c r="V2482" s="13"/>
      <c r="W2482" s="13"/>
      <c r="X2482" s="13"/>
      <c r="Y2482" s="13"/>
      <c r="Z2482" s="13"/>
      <c r="AA2482" s="13"/>
      <c r="AB2482" s="13"/>
      <c r="AC2482" s="13"/>
      <c r="AD2482" s="13"/>
      <c r="AE2482" s="13"/>
      <c r="AF2482" s="13"/>
      <c r="AG2482" s="13"/>
    </row>
    <row r="2483" spans="1:33" s="14" customFormat="1" ht="15" customHeight="1">
      <c r="A2483" s="10">
        <v>42895</v>
      </c>
      <c r="B2483" s="3" t="s">
        <v>63</v>
      </c>
      <c r="C2483" s="15" t="s">
        <v>46</v>
      </c>
      <c r="D2483" s="15">
        <v>520</v>
      </c>
      <c r="E2483" s="11">
        <v>1050</v>
      </c>
      <c r="F2483" s="3" t="s">
        <v>8</v>
      </c>
      <c r="G2483" s="46">
        <v>11</v>
      </c>
      <c r="H2483" s="3">
        <v>11</v>
      </c>
      <c r="I2483" s="46">
        <v>0</v>
      </c>
      <c r="J2483" s="55">
        <v>0</v>
      </c>
      <c r="K2483" s="1">
        <f t="shared" ref="K2483" si="3487">(IF(F2483="SELL",G2483-H2483,IF(F2483="BUY",H2483-G2483)))*E2483</f>
        <v>0</v>
      </c>
      <c r="L2483" s="51">
        <v>0</v>
      </c>
      <c r="M2483" s="52">
        <v>0</v>
      </c>
      <c r="N2483" s="2">
        <f t="shared" si="3439"/>
        <v>0</v>
      </c>
      <c r="O2483" s="2">
        <f t="shared" si="3464"/>
        <v>0</v>
      </c>
      <c r="P2483" s="13"/>
      <c r="Q2483" s="13"/>
      <c r="R2483" s="13"/>
      <c r="S2483" s="13"/>
      <c r="T2483" s="13"/>
      <c r="U2483" s="13"/>
      <c r="V2483" s="13"/>
      <c r="W2483" s="13"/>
      <c r="X2483" s="13"/>
      <c r="Y2483" s="13"/>
      <c r="Z2483" s="13"/>
      <c r="AA2483" s="13"/>
      <c r="AB2483" s="13"/>
      <c r="AC2483" s="13"/>
      <c r="AD2483" s="13"/>
      <c r="AE2483" s="13"/>
      <c r="AF2483" s="13"/>
      <c r="AG2483" s="13"/>
    </row>
    <row r="2484" spans="1:33" s="14" customFormat="1" ht="15" customHeight="1">
      <c r="A2484" s="10">
        <v>42895</v>
      </c>
      <c r="B2484" s="3" t="s">
        <v>76</v>
      </c>
      <c r="C2484" s="15" t="s">
        <v>46</v>
      </c>
      <c r="D2484" s="15">
        <v>9500</v>
      </c>
      <c r="E2484" s="11">
        <v>40</v>
      </c>
      <c r="F2484" s="3" t="s">
        <v>8</v>
      </c>
      <c r="G2484" s="46">
        <v>50</v>
      </c>
      <c r="H2484" s="3">
        <v>60</v>
      </c>
      <c r="I2484" s="46">
        <v>0</v>
      </c>
      <c r="J2484" s="55">
        <v>0</v>
      </c>
      <c r="K2484" s="1">
        <f t="shared" ref="K2484" si="3488">(IF(F2484="SELL",G2484-H2484,IF(F2484="BUY",H2484-G2484)))*E2484</f>
        <v>400</v>
      </c>
      <c r="L2484" s="51">
        <v>0</v>
      </c>
      <c r="M2484" s="52">
        <v>0</v>
      </c>
      <c r="N2484" s="2">
        <f t="shared" si="3439"/>
        <v>10</v>
      </c>
      <c r="O2484" s="2">
        <f t="shared" si="3464"/>
        <v>400</v>
      </c>
      <c r="P2484" s="13"/>
      <c r="Q2484" s="13"/>
      <c r="R2484" s="13"/>
      <c r="S2484" s="13"/>
      <c r="T2484" s="13"/>
      <c r="U2484" s="13"/>
      <c r="V2484" s="13"/>
      <c r="W2484" s="13"/>
      <c r="X2484" s="13"/>
      <c r="Y2484" s="13"/>
      <c r="Z2484" s="13"/>
      <c r="AA2484" s="13"/>
      <c r="AB2484" s="13"/>
      <c r="AC2484" s="13"/>
      <c r="AD2484" s="13"/>
      <c r="AE2484" s="13"/>
      <c r="AF2484" s="13"/>
      <c r="AG2484" s="13"/>
    </row>
    <row r="2485" spans="1:33" s="14" customFormat="1" ht="15" customHeight="1">
      <c r="A2485" s="10">
        <v>42895</v>
      </c>
      <c r="B2485" s="3" t="s">
        <v>83</v>
      </c>
      <c r="C2485" s="15" t="s">
        <v>46</v>
      </c>
      <c r="D2485" s="15">
        <v>23300</v>
      </c>
      <c r="E2485" s="11">
        <v>40</v>
      </c>
      <c r="F2485" s="3" t="s">
        <v>8</v>
      </c>
      <c r="G2485" s="46">
        <v>50</v>
      </c>
      <c r="H2485" s="3">
        <v>60</v>
      </c>
      <c r="I2485" s="46">
        <v>0</v>
      </c>
      <c r="J2485" s="55">
        <v>0</v>
      </c>
      <c r="K2485" s="1">
        <f t="shared" ref="K2485" si="3489">(IF(F2485="SELL",G2485-H2485,IF(F2485="BUY",H2485-G2485)))*E2485</f>
        <v>400</v>
      </c>
      <c r="L2485" s="51">
        <v>0</v>
      </c>
      <c r="M2485" s="52">
        <v>0</v>
      </c>
      <c r="N2485" s="2">
        <f t="shared" si="3439"/>
        <v>10</v>
      </c>
      <c r="O2485" s="2">
        <f t="shared" si="3464"/>
        <v>400</v>
      </c>
      <c r="P2485" s="13"/>
      <c r="Q2485" s="13"/>
      <c r="R2485" s="13"/>
      <c r="S2485" s="13"/>
      <c r="T2485" s="13"/>
      <c r="U2485" s="13"/>
      <c r="V2485" s="13"/>
      <c r="W2485" s="13"/>
      <c r="X2485" s="13"/>
      <c r="Y2485" s="13"/>
      <c r="Z2485" s="13"/>
      <c r="AA2485" s="13"/>
      <c r="AB2485" s="13"/>
      <c r="AC2485" s="13"/>
      <c r="AD2485" s="13"/>
      <c r="AE2485" s="13"/>
      <c r="AF2485" s="13"/>
      <c r="AG2485" s="13"/>
    </row>
    <row r="2486" spans="1:33" s="14" customFormat="1" ht="15" customHeight="1">
      <c r="A2486" s="10">
        <v>42895</v>
      </c>
      <c r="B2486" s="3" t="s">
        <v>124</v>
      </c>
      <c r="C2486" s="15" t="s">
        <v>47</v>
      </c>
      <c r="D2486" s="15">
        <v>460</v>
      </c>
      <c r="E2486" s="11">
        <v>1500</v>
      </c>
      <c r="F2486" s="3" t="s">
        <v>8</v>
      </c>
      <c r="G2486" s="46">
        <v>14</v>
      </c>
      <c r="H2486" s="3">
        <v>15</v>
      </c>
      <c r="I2486" s="46">
        <v>0</v>
      </c>
      <c r="J2486" s="55">
        <v>0</v>
      </c>
      <c r="K2486" s="1">
        <f t="shared" ref="K2486" si="3490">(IF(F2486="SELL",G2486-H2486,IF(F2486="BUY",H2486-G2486)))*E2486</f>
        <v>1500</v>
      </c>
      <c r="L2486" s="51">
        <v>0</v>
      </c>
      <c r="M2486" s="52">
        <v>0</v>
      </c>
      <c r="N2486" s="2">
        <f t="shared" si="3439"/>
        <v>1</v>
      </c>
      <c r="O2486" s="2">
        <f t="shared" si="3464"/>
        <v>1500</v>
      </c>
      <c r="P2486" s="13"/>
      <c r="Q2486" s="13"/>
      <c r="R2486" s="13"/>
      <c r="S2486" s="13"/>
      <c r="T2486" s="13"/>
      <c r="U2486" s="13"/>
      <c r="V2486" s="13"/>
      <c r="W2486" s="13"/>
      <c r="X2486" s="13"/>
      <c r="Y2486" s="13"/>
      <c r="Z2486" s="13"/>
      <c r="AA2486" s="13"/>
      <c r="AB2486" s="13"/>
      <c r="AC2486" s="13"/>
      <c r="AD2486" s="13"/>
      <c r="AE2486" s="13"/>
      <c r="AF2486" s="13"/>
      <c r="AG2486" s="13"/>
    </row>
    <row r="2487" spans="1:33" s="14" customFormat="1" ht="15" customHeight="1">
      <c r="A2487" s="10">
        <v>42894</v>
      </c>
      <c r="B2487" s="3" t="s">
        <v>83</v>
      </c>
      <c r="C2487" s="15" t="s">
        <v>47</v>
      </c>
      <c r="D2487" s="15">
        <v>23700</v>
      </c>
      <c r="E2487" s="11">
        <v>40</v>
      </c>
      <c r="F2487" s="3" t="s">
        <v>8</v>
      </c>
      <c r="G2487" s="46">
        <v>25</v>
      </c>
      <c r="H2487" s="3">
        <v>5</v>
      </c>
      <c r="I2487" s="46">
        <v>0</v>
      </c>
      <c r="J2487" s="55">
        <v>0</v>
      </c>
      <c r="K2487" s="1">
        <f t="shared" ref="K2487" si="3491">(IF(F2487="SELL",G2487-H2487,IF(F2487="BUY",H2487-G2487)))*E2487</f>
        <v>-800</v>
      </c>
      <c r="L2487" s="51">
        <v>0</v>
      </c>
      <c r="M2487" s="52">
        <v>0</v>
      </c>
      <c r="N2487" s="2">
        <f t="shared" si="3439"/>
        <v>-20</v>
      </c>
      <c r="O2487" s="2">
        <f t="shared" si="3464"/>
        <v>-800</v>
      </c>
      <c r="P2487" s="13"/>
      <c r="Q2487" s="13"/>
      <c r="R2487" s="13"/>
      <c r="S2487" s="13"/>
      <c r="T2487" s="13"/>
      <c r="U2487" s="13"/>
      <c r="V2487" s="13"/>
      <c r="W2487" s="13"/>
      <c r="X2487" s="13"/>
      <c r="Y2487" s="13"/>
      <c r="Z2487" s="13"/>
      <c r="AA2487" s="13"/>
      <c r="AB2487" s="13"/>
      <c r="AC2487" s="13"/>
      <c r="AD2487" s="13"/>
      <c r="AE2487" s="13"/>
      <c r="AF2487" s="13"/>
      <c r="AG2487" s="13"/>
    </row>
    <row r="2488" spans="1:33" s="14" customFormat="1" ht="15" customHeight="1">
      <c r="A2488" s="10">
        <v>42894</v>
      </c>
      <c r="B2488" s="3" t="s">
        <v>113</v>
      </c>
      <c r="C2488" s="15" t="s">
        <v>47</v>
      </c>
      <c r="D2488" s="15">
        <v>490</v>
      </c>
      <c r="E2488" s="11">
        <v>2000</v>
      </c>
      <c r="F2488" s="3" t="s">
        <v>8</v>
      </c>
      <c r="G2488" s="46">
        <v>16</v>
      </c>
      <c r="H2488" s="3">
        <v>16</v>
      </c>
      <c r="I2488" s="46">
        <v>0</v>
      </c>
      <c r="J2488" s="55">
        <v>43</v>
      </c>
      <c r="K2488" s="1">
        <f t="shared" ref="K2488" si="3492">(IF(F2488="SELL",G2488-H2488,IF(F2488="BUY",H2488-G2488)))*E2488</f>
        <v>0</v>
      </c>
      <c r="L2488" s="51">
        <v>0</v>
      </c>
      <c r="M2488" s="52">
        <v>0</v>
      </c>
      <c r="N2488" s="2">
        <f t="shared" si="3439"/>
        <v>0</v>
      </c>
      <c r="O2488" s="2">
        <f t="shared" si="3464"/>
        <v>0</v>
      </c>
      <c r="P2488" s="13"/>
      <c r="Q2488" s="13"/>
      <c r="R2488" s="13"/>
      <c r="S2488" s="13"/>
      <c r="T2488" s="13"/>
      <c r="U2488" s="13"/>
      <c r="V2488" s="13"/>
      <c r="W2488" s="13"/>
      <c r="X2488" s="13"/>
      <c r="Y2488" s="13"/>
      <c r="Z2488" s="13"/>
      <c r="AA2488" s="13"/>
      <c r="AB2488" s="13"/>
      <c r="AC2488" s="13"/>
      <c r="AD2488" s="13"/>
      <c r="AE2488" s="13"/>
      <c r="AF2488" s="13"/>
      <c r="AG2488" s="13"/>
    </row>
    <row r="2489" spans="1:33" s="14" customFormat="1" ht="15" customHeight="1">
      <c r="A2489" s="10">
        <v>42893</v>
      </c>
      <c r="B2489" s="3" t="s">
        <v>110</v>
      </c>
      <c r="C2489" s="15" t="s">
        <v>47</v>
      </c>
      <c r="D2489" s="15">
        <v>1200</v>
      </c>
      <c r="E2489" s="11">
        <v>600</v>
      </c>
      <c r="F2489" s="3" t="s">
        <v>8</v>
      </c>
      <c r="G2489" s="46">
        <v>29</v>
      </c>
      <c r="H2489" s="3">
        <v>31.5</v>
      </c>
      <c r="I2489" s="46">
        <v>36</v>
      </c>
      <c r="J2489" s="55">
        <v>43</v>
      </c>
      <c r="K2489" s="1">
        <f t="shared" ref="K2489" si="3493">(IF(F2489="SELL",G2489-H2489,IF(F2489="BUY",H2489-G2489)))*E2489</f>
        <v>1500</v>
      </c>
      <c r="L2489" s="51">
        <f t="shared" ref="L2489" si="3494">(IF(F2489="SELL",IF(I2489="",0,H2489-I2489),IF(F2489="BUY",IF(I2489="",0,I2489-H2489))))*E2489</f>
        <v>2700</v>
      </c>
      <c r="M2489" s="52">
        <f>(IF(F2489="SELL",IF(J2489="",0,I2489-J2489),IF(F2489="BUY",IF(J2489="",0,(J2489-I2489)))))*E2489</f>
        <v>4200</v>
      </c>
      <c r="N2489" s="2">
        <f t="shared" si="3439"/>
        <v>14</v>
      </c>
      <c r="O2489" s="2">
        <f t="shared" si="3464"/>
        <v>8400</v>
      </c>
      <c r="P2489" s="13"/>
      <c r="Q2489" s="13"/>
      <c r="R2489" s="13"/>
      <c r="S2489" s="13"/>
      <c r="T2489" s="13"/>
      <c r="U2489" s="13"/>
      <c r="V2489" s="13"/>
      <c r="W2489" s="13"/>
      <c r="X2489" s="13"/>
      <c r="Y2489" s="13"/>
      <c r="Z2489" s="13"/>
      <c r="AA2489" s="13"/>
      <c r="AB2489" s="13"/>
      <c r="AC2489" s="13"/>
      <c r="AD2489" s="13"/>
      <c r="AE2489" s="13"/>
      <c r="AF2489" s="13"/>
      <c r="AG2489" s="13"/>
    </row>
    <row r="2490" spans="1:33" s="14" customFormat="1" ht="15" customHeight="1">
      <c r="A2490" s="10">
        <v>42893</v>
      </c>
      <c r="B2490" s="3" t="s">
        <v>72</v>
      </c>
      <c r="C2490" s="15" t="s">
        <v>46</v>
      </c>
      <c r="D2490" s="15">
        <v>700</v>
      </c>
      <c r="E2490" s="11">
        <v>2500</v>
      </c>
      <c r="F2490" s="3" t="s">
        <v>8</v>
      </c>
      <c r="G2490" s="46">
        <v>11</v>
      </c>
      <c r="H2490" s="3">
        <v>12.25</v>
      </c>
      <c r="I2490" s="46">
        <v>0</v>
      </c>
      <c r="J2490" s="55">
        <v>0</v>
      </c>
      <c r="K2490" s="1">
        <f t="shared" ref="K2490" si="3495">(IF(F2490="SELL",G2490-H2490,IF(F2490="BUY",H2490-G2490)))*E2490</f>
        <v>3125</v>
      </c>
      <c r="L2490" s="51">
        <v>0</v>
      </c>
      <c r="M2490" s="52">
        <f>(IF(F2490="SELL",IF(J2490="",0,I2490-J2490),IF(F2490="BUY",IF(J2490="",0,(J2490-I2490)))))*E2490</f>
        <v>0</v>
      </c>
      <c r="N2490" s="2">
        <f t="shared" si="3439"/>
        <v>1.25</v>
      </c>
      <c r="O2490" s="2">
        <f t="shared" si="3464"/>
        <v>3125</v>
      </c>
      <c r="P2490" s="13"/>
      <c r="Q2490" s="13"/>
      <c r="R2490" s="13"/>
      <c r="S2490" s="13"/>
      <c r="T2490" s="13"/>
      <c r="U2490" s="13"/>
      <c r="V2490" s="13"/>
      <c r="W2490" s="13"/>
      <c r="X2490" s="13"/>
      <c r="Y2490" s="13"/>
      <c r="Z2490" s="13"/>
      <c r="AA2490" s="13"/>
      <c r="AB2490" s="13"/>
      <c r="AC2490" s="13"/>
      <c r="AD2490" s="13"/>
      <c r="AE2490" s="13"/>
      <c r="AF2490" s="13"/>
      <c r="AG2490" s="13"/>
    </row>
    <row r="2491" spans="1:33" s="14" customFormat="1" ht="15" customHeight="1">
      <c r="A2491" s="10">
        <v>42893</v>
      </c>
      <c r="B2491" s="3" t="s">
        <v>30</v>
      </c>
      <c r="C2491" s="15" t="s">
        <v>47</v>
      </c>
      <c r="D2491" s="15">
        <v>325</v>
      </c>
      <c r="E2491" s="11">
        <v>2500</v>
      </c>
      <c r="F2491" s="3" t="s">
        <v>8</v>
      </c>
      <c r="G2491" s="46">
        <v>8</v>
      </c>
      <c r="H2491" s="3">
        <v>8.6</v>
      </c>
      <c r="I2491" s="46">
        <v>0</v>
      </c>
      <c r="J2491" s="55">
        <v>0</v>
      </c>
      <c r="K2491" s="1">
        <f t="shared" ref="K2491" si="3496">(IF(F2491="SELL",G2491-H2491,IF(F2491="BUY",H2491-G2491)))*E2491</f>
        <v>1499.9999999999991</v>
      </c>
      <c r="L2491" s="51">
        <v>0</v>
      </c>
      <c r="M2491" s="52">
        <f>(IF(F2491="SELL",IF(J2491="",0,I2491-J2491),IF(F2491="BUY",IF(J2491="",0,(J2491-I2491)))))*E2491</f>
        <v>0</v>
      </c>
      <c r="N2491" s="2">
        <f t="shared" si="3439"/>
        <v>0.59999999999999964</v>
      </c>
      <c r="O2491" s="2">
        <f t="shared" si="3464"/>
        <v>1499.9999999999991</v>
      </c>
      <c r="P2491" s="13"/>
      <c r="Q2491" s="13"/>
      <c r="R2491" s="13"/>
      <c r="S2491" s="13"/>
      <c r="T2491" s="13"/>
      <c r="U2491" s="13"/>
      <c r="V2491" s="13"/>
      <c r="W2491" s="13"/>
      <c r="X2491" s="13"/>
      <c r="Y2491" s="13"/>
      <c r="Z2491" s="13"/>
      <c r="AA2491" s="13"/>
      <c r="AB2491" s="13"/>
      <c r="AC2491" s="13"/>
      <c r="AD2491" s="13"/>
      <c r="AE2491" s="13"/>
      <c r="AF2491" s="13"/>
      <c r="AG2491" s="13"/>
    </row>
    <row r="2492" spans="1:33" s="14" customFormat="1" ht="15" customHeight="1">
      <c r="A2492" s="10">
        <v>42893</v>
      </c>
      <c r="B2492" s="3" t="s">
        <v>123</v>
      </c>
      <c r="C2492" s="15" t="s">
        <v>47</v>
      </c>
      <c r="D2492" s="15">
        <v>540</v>
      </c>
      <c r="E2492" s="11">
        <v>1600</v>
      </c>
      <c r="F2492" s="3" t="s">
        <v>8</v>
      </c>
      <c r="G2492" s="46">
        <v>20</v>
      </c>
      <c r="H2492" s="3">
        <v>22</v>
      </c>
      <c r="I2492" s="46">
        <v>0</v>
      </c>
      <c r="J2492" s="55">
        <v>0</v>
      </c>
      <c r="K2492" s="1">
        <f t="shared" ref="K2492" si="3497">(IF(F2492="SELL",G2492-H2492,IF(F2492="BUY",H2492-G2492)))*E2492</f>
        <v>3200</v>
      </c>
      <c r="L2492" s="51">
        <v>0</v>
      </c>
      <c r="M2492" s="52">
        <f>(IF(F2492="SELL",IF(J2492="",0,I2492-J2492),IF(F2492="BUY",IF(J2492="",0,(J2492-I2492)))))*E2492</f>
        <v>0</v>
      </c>
      <c r="N2492" s="2">
        <f t="shared" si="3439"/>
        <v>2</v>
      </c>
      <c r="O2492" s="2">
        <f t="shared" si="3464"/>
        <v>3200</v>
      </c>
      <c r="P2492" s="13"/>
      <c r="Q2492" s="13"/>
      <c r="R2492" s="13"/>
      <c r="S2492" s="13"/>
      <c r="T2492" s="13"/>
      <c r="U2492" s="13"/>
      <c r="V2492" s="13"/>
      <c r="W2492" s="13"/>
      <c r="X2492" s="13"/>
      <c r="Y2492" s="13"/>
      <c r="Z2492" s="13"/>
      <c r="AA2492" s="13"/>
      <c r="AB2492" s="13"/>
      <c r="AC2492" s="13"/>
      <c r="AD2492" s="13"/>
      <c r="AE2492" s="13"/>
      <c r="AF2492" s="13"/>
      <c r="AG2492" s="13"/>
    </row>
    <row r="2493" spans="1:33" s="14" customFormat="1" ht="15" customHeight="1">
      <c r="A2493" s="10">
        <v>42893</v>
      </c>
      <c r="B2493" s="3" t="s">
        <v>83</v>
      </c>
      <c r="C2493" s="15" t="s">
        <v>47</v>
      </c>
      <c r="D2493" s="15">
        <v>23500</v>
      </c>
      <c r="E2493" s="11">
        <v>40</v>
      </c>
      <c r="F2493" s="3" t="s">
        <v>8</v>
      </c>
      <c r="G2493" s="46">
        <v>90</v>
      </c>
      <c r="H2493" s="3">
        <v>100</v>
      </c>
      <c r="I2493" s="46">
        <v>115</v>
      </c>
      <c r="J2493" s="55">
        <v>135</v>
      </c>
      <c r="K2493" s="1">
        <f t="shared" ref="K2493" si="3498">(IF(F2493="SELL",G2493-H2493,IF(F2493="BUY",H2493-G2493)))*E2493</f>
        <v>400</v>
      </c>
      <c r="L2493" s="51">
        <f t="shared" ref="L2493:L2498" si="3499">(IF(F2493="SELL",IF(I2493="",0,H2493-I2493),IF(F2493="BUY",IF(I2493="",0,I2493-H2493))))*E2493</f>
        <v>600</v>
      </c>
      <c r="M2493" s="52">
        <f>(IF(F2493="SELL",IF(J2493="",0,I2493-J2493),IF(F2493="BUY",IF(J2493="",0,(J2493-I2493)))))*E2493</f>
        <v>800</v>
      </c>
      <c r="N2493" s="2">
        <f t="shared" si="3439"/>
        <v>45</v>
      </c>
      <c r="O2493" s="2">
        <f t="shared" si="3464"/>
        <v>1800</v>
      </c>
      <c r="P2493" s="13"/>
      <c r="Q2493" s="13"/>
      <c r="R2493" s="13"/>
      <c r="S2493" s="13"/>
      <c r="T2493" s="13"/>
      <c r="U2493" s="13"/>
      <c r="V2493" s="13"/>
      <c r="W2493" s="13"/>
      <c r="X2493" s="13"/>
      <c r="Y2493" s="13"/>
      <c r="Z2493" s="13"/>
      <c r="AA2493" s="13"/>
      <c r="AB2493" s="13"/>
      <c r="AC2493" s="13"/>
      <c r="AD2493" s="13"/>
      <c r="AE2493" s="13"/>
      <c r="AF2493" s="13"/>
      <c r="AG2493" s="13"/>
    </row>
    <row r="2494" spans="1:33" s="14" customFormat="1" ht="15" customHeight="1">
      <c r="A2494" s="10">
        <v>42893</v>
      </c>
      <c r="B2494" s="3" t="s">
        <v>57</v>
      </c>
      <c r="C2494" s="15" t="s">
        <v>47</v>
      </c>
      <c r="D2494" s="15">
        <v>145</v>
      </c>
      <c r="E2494" s="11">
        <v>6000</v>
      </c>
      <c r="F2494" s="3" t="s">
        <v>8</v>
      </c>
      <c r="G2494" s="46">
        <v>6.2</v>
      </c>
      <c r="H2494" s="3">
        <v>6.2</v>
      </c>
      <c r="I2494" s="46">
        <v>0</v>
      </c>
      <c r="J2494" s="55">
        <v>0</v>
      </c>
      <c r="K2494" s="1">
        <f t="shared" ref="K2494" si="3500">(IF(F2494="SELL",G2494-H2494,IF(F2494="BUY",H2494-G2494)))*E2494</f>
        <v>0</v>
      </c>
      <c r="L2494" s="51">
        <v>0</v>
      </c>
      <c r="M2494" s="52">
        <v>0</v>
      </c>
      <c r="N2494" s="2">
        <f t="shared" si="3439"/>
        <v>0</v>
      </c>
      <c r="O2494" s="2">
        <f t="shared" si="3464"/>
        <v>0</v>
      </c>
      <c r="P2494" s="13"/>
      <c r="Q2494" s="13"/>
      <c r="R2494" s="13"/>
      <c r="S2494" s="13"/>
      <c r="T2494" s="13"/>
      <c r="U2494" s="13"/>
      <c r="V2494" s="13"/>
      <c r="W2494" s="13"/>
      <c r="X2494" s="13"/>
      <c r="Y2494" s="13"/>
      <c r="Z2494" s="13"/>
      <c r="AA2494" s="13"/>
      <c r="AB2494" s="13"/>
      <c r="AC2494" s="13"/>
      <c r="AD2494" s="13"/>
      <c r="AE2494" s="13"/>
      <c r="AF2494" s="13"/>
      <c r="AG2494" s="13"/>
    </row>
    <row r="2495" spans="1:33" s="14" customFormat="1" ht="15" customHeight="1">
      <c r="A2495" s="10">
        <v>42892</v>
      </c>
      <c r="B2495" s="3" t="s">
        <v>13</v>
      </c>
      <c r="C2495" s="15" t="s">
        <v>47</v>
      </c>
      <c r="D2495" s="15">
        <v>900</v>
      </c>
      <c r="E2495" s="11">
        <v>600</v>
      </c>
      <c r="F2495" s="3" t="s">
        <v>8</v>
      </c>
      <c r="G2495" s="46">
        <v>12</v>
      </c>
      <c r="H2495" s="3">
        <v>14.2</v>
      </c>
      <c r="I2495" s="46">
        <v>18.399999999999999</v>
      </c>
      <c r="J2495" s="55">
        <v>0</v>
      </c>
      <c r="K2495" s="1">
        <f t="shared" ref="K2495" si="3501">(IF(F2495="SELL",G2495-H2495,IF(F2495="BUY",H2495-G2495)))*E2495</f>
        <v>1319.9999999999995</v>
      </c>
      <c r="L2495" s="51">
        <f t="shared" si="3499"/>
        <v>2519.9999999999995</v>
      </c>
      <c r="M2495" s="52">
        <v>0</v>
      </c>
      <c r="N2495" s="2">
        <f t="shared" si="3439"/>
        <v>6.3999999999999986</v>
      </c>
      <c r="O2495" s="2">
        <f t="shared" si="3464"/>
        <v>3839.9999999999991</v>
      </c>
      <c r="P2495" s="13"/>
      <c r="Q2495" s="13"/>
      <c r="R2495" s="13"/>
      <c r="S2495" s="13"/>
      <c r="T2495" s="13"/>
      <c r="U2495" s="13"/>
      <c r="V2495" s="13"/>
      <c r="W2495" s="13"/>
      <c r="X2495" s="13"/>
      <c r="Y2495" s="13"/>
      <c r="Z2495" s="13"/>
      <c r="AA2495" s="13"/>
      <c r="AB2495" s="13"/>
      <c r="AC2495" s="13"/>
      <c r="AD2495" s="13"/>
      <c r="AE2495" s="13"/>
      <c r="AF2495" s="13"/>
      <c r="AG2495" s="13"/>
    </row>
    <row r="2496" spans="1:33" s="14" customFormat="1" ht="15" customHeight="1">
      <c r="A2496" s="10">
        <v>42892</v>
      </c>
      <c r="B2496" s="3" t="s">
        <v>122</v>
      </c>
      <c r="C2496" s="15" t="s">
        <v>47</v>
      </c>
      <c r="D2496" s="15">
        <v>1600</v>
      </c>
      <c r="E2496" s="11">
        <v>500</v>
      </c>
      <c r="F2496" s="3" t="s">
        <v>8</v>
      </c>
      <c r="G2496" s="46">
        <v>35</v>
      </c>
      <c r="H2496" s="3">
        <v>38</v>
      </c>
      <c r="I2496" s="46">
        <v>44</v>
      </c>
      <c r="J2496" s="55">
        <v>0</v>
      </c>
      <c r="K2496" s="1">
        <f t="shared" ref="K2496" si="3502">(IF(F2496="SELL",G2496-H2496,IF(F2496="BUY",H2496-G2496)))*E2496</f>
        <v>1500</v>
      </c>
      <c r="L2496" s="51">
        <f t="shared" si="3499"/>
        <v>3000</v>
      </c>
      <c r="M2496" s="52">
        <v>0</v>
      </c>
      <c r="N2496" s="2">
        <f t="shared" si="3439"/>
        <v>9</v>
      </c>
      <c r="O2496" s="2">
        <f t="shared" si="3464"/>
        <v>4500</v>
      </c>
      <c r="P2496" s="13"/>
      <c r="Q2496" s="13"/>
      <c r="R2496" s="13"/>
      <c r="S2496" s="13"/>
      <c r="T2496" s="13"/>
      <c r="U2496" s="13"/>
      <c r="V2496" s="13"/>
      <c r="W2496" s="13"/>
      <c r="X2496" s="13"/>
      <c r="Y2496" s="13"/>
      <c r="Z2496" s="13"/>
      <c r="AA2496" s="13"/>
      <c r="AB2496" s="13"/>
      <c r="AC2496" s="13"/>
      <c r="AD2496" s="13"/>
      <c r="AE2496" s="13"/>
      <c r="AF2496" s="13"/>
      <c r="AG2496" s="13"/>
    </row>
    <row r="2497" spans="1:33" s="14" customFormat="1" ht="15" customHeight="1">
      <c r="A2497" s="10">
        <v>42892</v>
      </c>
      <c r="B2497" s="3" t="s">
        <v>83</v>
      </c>
      <c r="C2497" s="15" t="s">
        <v>47</v>
      </c>
      <c r="D2497" s="15">
        <v>23500</v>
      </c>
      <c r="E2497" s="11">
        <v>40</v>
      </c>
      <c r="F2497" s="3" t="s">
        <v>8</v>
      </c>
      <c r="G2497" s="46">
        <v>100</v>
      </c>
      <c r="H2497" s="3">
        <v>100</v>
      </c>
      <c r="I2497" s="46">
        <v>0</v>
      </c>
      <c r="J2497" s="55">
        <v>0</v>
      </c>
      <c r="K2497" s="1">
        <f t="shared" ref="K2497" si="3503">(IF(F2497="SELL",G2497-H2497,IF(F2497="BUY",H2497-G2497)))*E2497</f>
        <v>0</v>
      </c>
      <c r="L2497" s="51">
        <v>0</v>
      </c>
      <c r="M2497" s="52">
        <v>0</v>
      </c>
      <c r="N2497" s="2">
        <f t="shared" si="3439"/>
        <v>0</v>
      </c>
      <c r="O2497" s="2">
        <f t="shared" si="3464"/>
        <v>0</v>
      </c>
      <c r="P2497" s="13"/>
      <c r="Q2497" s="13"/>
      <c r="R2497" s="13"/>
      <c r="S2497" s="13"/>
      <c r="T2497" s="13"/>
      <c r="U2497" s="13"/>
      <c r="V2497" s="13"/>
      <c r="W2497" s="13"/>
      <c r="X2497" s="13"/>
      <c r="Y2497" s="13"/>
      <c r="Z2497" s="13"/>
      <c r="AA2497" s="13"/>
      <c r="AB2497" s="13"/>
      <c r="AC2497" s="13"/>
      <c r="AD2497" s="13"/>
      <c r="AE2497" s="13"/>
      <c r="AF2497" s="13"/>
      <c r="AG2497" s="13"/>
    </row>
    <row r="2498" spans="1:33" s="14" customFormat="1" ht="15" customHeight="1">
      <c r="A2498" s="10">
        <v>42892</v>
      </c>
      <c r="B2498" s="3" t="s">
        <v>121</v>
      </c>
      <c r="C2498" s="15" t="s">
        <v>47</v>
      </c>
      <c r="D2498" s="15">
        <v>760</v>
      </c>
      <c r="E2498" s="11">
        <v>800</v>
      </c>
      <c r="F2498" s="3" t="s">
        <v>8</v>
      </c>
      <c r="G2498" s="46">
        <v>23</v>
      </c>
      <c r="H2498" s="3">
        <v>25</v>
      </c>
      <c r="I2498" s="46">
        <v>29</v>
      </c>
      <c r="J2498" s="55">
        <v>0</v>
      </c>
      <c r="K2498" s="1">
        <f t="shared" ref="K2498" si="3504">(IF(F2498="SELL",G2498-H2498,IF(F2498="BUY",H2498-G2498)))*E2498</f>
        <v>1600</v>
      </c>
      <c r="L2498" s="51">
        <f t="shared" si="3499"/>
        <v>3200</v>
      </c>
      <c r="M2498" s="52">
        <v>0</v>
      </c>
      <c r="N2498" s="2">
        <f t="shared" si="3439"/>
        <v>6</v>
      </c>
      <c r="O2498" s="2">
        <f t="shared" si="3464"/>
        <v>4800</v>
      </c>
      <c r="P2498" s="13"/>
      <c r="Q2498" s="13"/>
      <c r="R2498" s="13"/>
      <c r="S2498" s="13"/>
      <c r="T2498" s="13"/>
      <c r="U2498" s="13"/>
      <c r="V2498" s="13"/>
      <c r="W2498" s="13"/>
      <c r="X2498" s="13"/>
      <c r="Y2498" s="13"/>
      <c r="Z2498" s="13"/>
      <c r="AA2498" s="13"/>
      <c r="AB2498" s="13"/>
      <c r="AC2498" s="13"/>
      <c r="AD2498" s="13"/>
      <c r="AE2498" s="13"/>
      <c r="AF2498" s="13"/>
      <c r="AG2498" s="13"/>
    </row>
    <row r="2499" spans="1:33" s="14" customFormat="1" ht="15" customHeight="1">
      <c r="A2499" s="10">
        <v>42892</v>
      </c>
      <c r="B2499" s="3" t="s">
        <v>121</v>
      </c>
      <c r="C2499" s="15" t="s">
        <v>47</v>
      </c>
      <c r="D2499" s="15">
        <v>760</v>
      </c>
      <c r="E2499" s="11">
        <v>800</v>
      </c>
      <c r="F2499" s="3" t="s">
        <v>8</v>
      </c>
      <c r="G2499" s="46">
        <v>23</v>
      </c>
      <c r="H2499" s="3">
        <v>25</v>
      </c>
      <c r="I2499" s="46">
        <v>29</v>
      </c>
      <c r="J2499" s="55">
        <v>0</v>
      </c>
      <c r="K2499" s="1">
        <f t="shared" ref="K2499" si="3505">(IF(F2499="SELL",G2499-H2499,IF(F2499="BUY",H2499-G2499)))*E2499</f>
        <v>1600</v>
      </c>
      <c r="L2499" s="51">
        <f t="shared" ref="L2499" si="3506">(IF(F2499="SELL",IF(I2499="",0,H2499-I2499),IF(F2499="BUY",IF(I2499="",0,I2499-H2499))))*E2499</f>
        <v>3200</v>
      </c>
      <c r="M2499" s="52">
        <v>0</v>
      </c>
      <c r="N2499" s="2">
        <f t="shared" si="3439"/>
        <v>6</v>
      </c>
      <c r="O2499" s="2">
        <f t="shared" si="3464"/>
        <v>4800</v>
      </c>
      <c r="P2499" s="13"/>
      <c r="Q2499" s="13"/>
      <c r="R2499" s="13"/>
      <c r="S2499" s="13"/>
      <c r="T2499" s="13"/>
      <c r="U2499" s="13"/>
      <c r="V2499" s="13"/>
      <c r="W2499" s="13"/>
      <c r="X2499" s="13"/>
      <c r="Y2499" s="13"/>
      <c r="Z2499" s="13"/>
      <c r="AA2499" s="13"/>
      <c r="AB2499" s="13"/>
      <c r="AC2499" s="13"/>
      <c r="AD2499" s="13"/>
      <c r="AE2499" s="13"/>
      <c r="AF2499" s="13"/>
      <c r="AG2499" s="13"/>
    </row>
    <row r="2500" spans="1:33" s="14" customFormat="1" ht="15" customHeight="1">
      <c r="A2500" s="10">
        <v>42891</v>
      </c>
      <c r="B2500" s="3" t="s">
        <v>114</v>
      </c>
      <c r="C2500" s="15" t="s">
        <v>47</v>
      </c>
      <c r="D2500" s="15">
        <v>1520</v>
      </c>
      <c r="E2500" s="11">
        <v>350</v>
      </c>
      <c r="F2500" s="3" t="s">
        <v>8</v>
      </c>
      <c r="G2500" s="46">
        <v>37</v>
      </c>
      <c r="H2500" s="3">
        <v>40</v>
      </c>
      <c r="I2500" s="46">
        <v>44.9</v>
      </c>
      <c r="J2500" s="55">
        <v>0</v>
      </c>
      <c r="K2500" s="1">
        <f t="shared" ref="K2500" si="3507">(IF(F2500="SELL",G2500-H2500,IF(F2500="BUY",H2500-G2500)))*E2500</f>
        <v>1050</v>
      </c>
      <c r="L2500" s="51">
        <f t="shared" ref="L2500:L2502" si="3508">(IF(F2500="SELL",IF(I2500="",0,H2500-I2500),IF(F2500="BUY",IF(I2500="",0,I2500-H2500))))*E2500</f>
        <v>1714.9999999999995</v>
      </c>
      <c r="M2500" s="52">
        <v>0</v>
      </c>
      <c r="N2500" s="2">
        <f t="shared" si="3439"/>
        <v>7.8999999999999986</v>
      </c>
      <c r="O2500" s="2">
        <f t="shared" si="3464"/>
        <v>2764.9999999999995</v>
      </c>
      <c r="P2500" s="13"/>
      <c r="Q2500" s="13"/>
      <c r="R2500" s="13"/>
      <c r="S2500" s="13"/>
      <c r="T2500" s="13"/>
      <c r="U2500" s="13"/>
      <c r="V2500" s="13"/>
      <c r="W2500" s="13"/>
      <c r="X2500" s="13"/>
      <c r="Y2500" s="13"/>
      <c r="Z2500" s="13"/>
      <c r="AA2500" s="13"/>
      <c r="AB2500" s="13"/>
      <c r="AC2500" s="13"/>
      <c r="AD2500" s="13"/>
      <c r="AE2500" s="13"/>
      <c r="AF2500" s="13"/>
      <c r="AG2500" s="13"/>
    </row>
    <row r="2501" spans="1:33" s="14" customFormat="1" ht="15" customHeight="1">
      <c r="A2501" s="10">
        <v>42891</v>
      </c>
      <c r="B2501" s="3" t="s">
        <v>82</v>
      </c>
      <c r="C2501" s="15" t="s">
        <v>47</v>
      </c>
      <c r="D2501" s="15">
        <v>150</v>
      </c>
      <c r="E2501" s="11">
        <v>7000</v>
      </c>
      <c r="F2501" s="3" t="s">
        <v>8</v>
      </c>
      <c r="G2501" s="46">
        <v>8.5</v>
      </c>
      <c r="H2501" s="3">
        <v>8.5</v>
      </c>
      <c r="I2501" s="46">
        <v>0</v>
      </c>
      <c r="J2501" s="55">
        <v>0</v>
      </c>
      <c r="K2501" s="1">
        <f t="shared" ref="K2501" si="3509">(IF(F2501="SELL",G2501-H2501,IF(F2501="BUY",H2501-G2501)))*E2501</f>
        <v>0</v>
      </c>
      <c r="L2501" s="51">
        <v>0</v>
      </c>
      <c r="M2501" s="52">
        <v>0</v>
      </c>
      <c r="N2501" s="2">
        <f t="shared" si="3439"/>
        <v>0</v>
      </c>
      <c r="O2501" s="2">
        <f t="shared" si="3464"/>
        <v>0</v>
      </c>
      <c r="P2501" s="13"/>
      <c r="Q2501" s="13"/>
      <c r="R2501" s="13"/>
      <c r="S2501" s="13"/>
      <c r="T2501" s="13"/>
      <c r="U2501" s="13"/>
      <c r="V2501" s="13"/>
      <c r="W2501" s="13"/>
      <c r="X2501" s="13"/>
      <c r="Y2501" s="13"/>
      <c r="Z2501" s="13"/>
      <c r="AA2501" s="13"/>
      <c r="AB2501" s="13"/>
      <c r="AC2501" s="13"/>
      <c r="AD2501" s="13"/>
      <c r="AE2501" s="13"/>
      <c r="AF2501" s="13"/>
      <c r="AG2501" s="13"/>
    </row>
    <row r="2502" spans="1:33" s="14" customFormat="1" ht="15" customHeight="1">
      <c r="A2502" s="10">
        <v>42891</v>
      </c>
      <c r="B2502" s="3" t="s">
        <v>83</v>
      </c>
      <c r="C2502" s="15" t="s">
        <v>47</v>
      </c>
      <c r="D2502" s="15">
        <v>23500</v>
      </c>
      <c r="E2502" s="11">
        <v>40</v>
      </c>
      <c r="F2502" s="3" t="s">
        <v>8</v>
      </c>
      <c r="G2502" s="46">
        <v>70</v>
      </c>
      <c r="H2502" s="3">
        <v>80</v>
      </c>
      <c r="I2502" s="46">
        <v>95</v>
      </c>
      <c r="J2502" s="55">
        <v>0</v>
      </c>
      <c r="K2502" s="1">
        <f t="shared" ref="K2502" si="3510">(IF(F2502="SELL",G2502-H2502,IF(F2502="BUY",H2502-G2502)))*E2502</f>
        <v>400</v>
      </c>
      <c r="L2502" s="51">
        <f t="shared" si="3508"/>
        <v>600</v>
      </c>
      <c r="M2502" s="52">
        <v>0</v>
      </c>
      <c r="N2502" s="2">
        <f t="shared" si="3439"/>
        <v>25</v>
      </c>
      <c r="O2502" s="2">
        <f t="shared" si="3464"/>
        <v>1000</v>
      </c>
      <c r="P2502" s="13"/>
      <c r="Q2502" s="13"/>
      <c r="R2502" s="13"/>
      <c r="S2502" s="13"/>
      <c r="T2502" s="13"/>
      <c r="U2502" s="13"/>
      <c r="V2502" s="13"/>
      <c r="W2502" s="13"/>
      <c r="X2502" s="13"/>
      <c r="Y2502" s="13"/>
      <c r="Z2502" s="13"/>
      <c r="AA2502" s="13"/>
      <c r="AB2502" s="13"/>
      <c r="AC2502" s="13"/>
      <c r="AD2502" s="13"/>
      <c r="AE2502" s="13"/>
      <c r="AF2502" s="13"/>
      <c r="AG2502" s="13"/>
    </row>
    <row r="2503" spans="1:33" s="14" customFormat="1" ht="15" customHeight="1">
      <c r="A2503" s="10">
        <v>42891</v>
      </c>
      <c r="B2503" s="3" t="s">
        <v>120</v>
      </c>
      <c r="C2503" s="15" t="s">
        <v>47</v>
      </c>
      <c r="D2503" s="15">
        <v>20</v>
      </c>
      <c r="E2503" s="11">
        <v>45000</v>
      </c>
      <c r="F2503" s="3" t="s">
        <v>8</v>
      </c>
      <c r="G2503" s="46">
        <v>1</v>
      </c>
      <c r="H2503" s="3">
        <v>1</v>
      </c>
      <c r="I2503" s="46">
        <v>0</v>
      </c>
      <c r="J2503" s="55">
        <v>0</v>
      </c>
      <c r="K2503" s="1">
        <f t="shared" ref="K2503" si="3511">(IF(F2503="SELL",G2503-H2503,IF(F2503="BUY",H2503-G2503)))*E2503</f>
        <v>0</v>
      </c>
      <c r="L2503" s="51">
        <v>0</v>
      </c>
      <c r="M2503" s="52">
        <v>0</v>
      </c>
      <c r="N2503" s="2">
        <f t="shared" si="3439"/>
        <v>0</v>
      </c>
      <c r="O2503" s="2">
        <f t="shared" si="3464"/>
        <v>0</v>
      </c>
      <c r="P2503" s="13"/>
      <c r="Q2503" s="13"/>
      <c r="R2503" s="13"/>
      <c r="S2503" s="13"/>
      <c r="T2503" s="13"/>
      <c r="U2503" s="13"/>
      <c r="V2503" s="13"/>
      <c r="W2503" s="13"/>
      <c r="X2503" s="13"/>
      <c r="Y2503" s="13"/>
      <c r="Z2503" s="13"/>
      <c r="AA2503" s="13"/>
      <c r="AB2503" s="13"/>
      <c r="AC2503" s="13"/>
      <c r="AD2503" s="13"/>
      <c r="AE2503" s="13"/>
      <c r="AF2503" s="13"/>
      <c r="AG2503" s="13"/>
    </row>
    <row r="2504" spans="1:33" s="14" customFormat="1" ht="15" customHeight="1">
      <c r="A2504" s="10">
        <v>42888</v>
      </c>
      <c r="B2504" s="3" t="s">
        <v>55</v>
      </c>
      <c r="C2504" s="15" t="s">
        <v>47</v>
      </c>
      <c r="D2504" s="15">
        <v>180</v>
      </c>
      <c r="E2504" s="11">
        <v>2100</v>
      </c>
      <c r="F2504" s="3" t="s">
        <v>8</v>
      </c>
      <c r="G2504" s="46">
        <v>7.5</v>
      </c>
      <c r="H2504" s="3">
        <v>7.5</v>
      </c>
      <c r="I2504" s="46">
        <v>0</v>
      </c>
      <c r="J2504" s="55">
        <v>0</v>
      </c>
      <c r="K2504" s="1">
        <f t="shared" ref="K2504" si="3512">(IF(F2504="SELL",G2504-H2504,IF(F2504="BUY",H2504-G2504)))*E2504</f>
        <v>0</v>
      </c>
      <c r="L2504" s="51">
        <v>0</v>
      </c>
      <c r="M2504" s="52">
        <v>0</v>
      </c>
      <c r="N2504" s="2">
        <f t="shared" si="3439"/>
        <v>0</v>
      </c>
      <c r="O2504" s="2">
        <f t="shared" si="3464"/>
        <v>0</v>
      </c>
      <c r="P2504" s="13"/>
      <c r="Q2504" s="13"/>
      <c r="R2504" s="13"/>
      <c r="S2504" s="13"/>
      <c r="T2504" s="13"/>
      <c r="U2504" s="13"/>
      <c r="V2504" s="13"/>
      <c r="W2504" s="13"/>
      <c r="X2504" s="13"/>
      <c r="Y2504" s="13"/>
      <c r="Z2504" s="13"/>
      <c r="AA2504" s="13"/>
      <c r="AB2504" s="13"/>
      <c r="AC2504" s="13"/>
      <c r="AD2504" s="13"/>
      <c r="AE2504" s="13"/>
      <c r="AF2504" s="13"/>
      <c r="AG2504" s="13"/>
    </row>
    <row r="2505" spans="1:33" s="14" customFormat="1" ht="15" customHeight="1">
      <c r="A2505" s="10">
        <v>42888</v>
      </c>
      <c r="B2505" s="3" t="s">
        <v>112</v>
      </c>
      <c r="C2505" s="15" t="s">
        <v>47</v>
      </c>
      <c r="D2505" s="15">
        <v>300</v>
      </c>
      <c r="E2505" s="11">
        <v>2100</v>
      </c>
      <c r="F2505" s="3" t="s">
        <v>8</v>
      </c>
      <c r="G2505" s="46">
        <v>7</v>
      </c>
      <c r="H2505" s="3">
        <v>7</v>
      </c>
      <c r="I2505" s="46">
        <v>0</v>
      </c>
      <c r="J2505" s="55">
        <v>0</v>
      </c>
      <c r="K2505" s="1">
        <f t="shared" ref="K2505" si="3513">(IF(F2505="SELL",G2505-H2505,IF(F2505="BUY",H2505-G2505)))*E2505</f>
        <v>0</v>
      </c>
      <c r="L2505" s="51">
        <v>0</v>
      </c>
      <c r="M2505" s="52">
        <v>0</v>
      </c>
      <c r="N2505" s="2">
        <f t="shared" si="3439"/>
        <v>0</v>
      </c>
      <c r="O2505" s="2">
        <f t="shared" si="3464"/>
        <v>0</v>
      </c>
      <c r="P2505" s="13"/>
      <c r="Q2505" s="13"/>
      <c r="R2505" s="13"/>
      <c r="S2505" s="13"/>
      <c r="T2505" s="13"/>
      <c r="U2505" s="13"/>
      <c r="V2505" s="13"/>
      <c r="W2505" s="13"/>
      <c r="X2505" s="13"/>
      <c r="Y2505" s="13"/>
      <c r="Z2505" s="13"/>
      <c r="AA2505" s="13"/>
      <c r="AB2505" s="13"/>
      <c r="AC2505" s="13"/>
      <c r="AD2505" s="13"/>
      <c r="AE2505" s="13"/>
      <c r="AF2505" s="13"/>
      <c r="AG2505" s="13"/>
    </row>
    <row r="2506" spans="1:33" s="14" customFormat="1" ht="15" customHeight="1">
      <c r="A2506" s="10">
        <v>42888</v>
      </c>
      <c r="B2506" s="3" t="s">
        <v>98</v>
      </c>
      <c r="C2506" s="15" t="s">
        <v>47</v>
      </c>
      <c r="D2506" s="15">
        <v>1000</v>
      </c>
      <c r="E2506" s="11">
        <v>600</v>
      </c>
      <c r="F2506" s="3" t="s">
        <v>8</v>
      </c>
      <c r="G2506" s="46">
        <v>23</v>
      </c>
      <c r="H2506" s="3">
        <v>23</v>
      </c>
      <c r="I2506" s="46">
        <v>0</v>
      </c>
      <c r="J2506" s="55">
        <v>0</v>
      </c>
      <c r="K2506" s="1">
        <f t="shared" ref="K2506" si="3514">(IF(F2506="SELL",G2506-H2506,IF(F2506="BUY",H2506-G2506)))*E2506</f>
        <v>0</v>
      </c>
      <c r="L2506" s="51">
        <v>0</v>
      </c>
      <c r="M2506" s="52">
        <v>0</v>
      </c>
      <c r="N2506" s="2">
        <f t="shared" si="3439"/>
        <v>0</v>
      </c>
      <c r="O2506" s="2">
        <f t="shared" si="3464"/>
        <v>0</v>
      </c>
      <c r="P2506" s="13"/>
      <c r="Q2506" s="13"/>
      <c r="R2506" s="13"/>
      <c r="S2506" s="13"/>
      <c r="T2506" s="13"/>
      <c r="U2506" s="13"/>
      <c r="V2506" s="13"/>
      <c r="W2506" s="13"/>
      <c r="X2506" s="13"/>
      <c r="Y2506" s="13"/>
      <c r="Z2506" s="13"/>
      <c r="AA2506" s="13"/>
      <c r="AB2506" s="13"/>
      <c r="AC2506" s="13"/>
      <c r="AD2506" s="13"/>
      <c r="AE2506" s="13"/>
      <c r="AF2506" s="13"/>
      <c r="AG2506" s="13"/>
    </row>
    <row r="2507" spans="1:33" s="14" customFormat="1" ht="15" customHeight="1">
      <c r="A2507" s="10">
        <v>42888</v>
      </c>
      <c r="B2507" s="3" t="s">
        <v>28</v>
      </c>
      <c r="C2507" s="15" t="s">
        <v>47</v>
      </c>
      <c r="D2507" s="15">
        <v>380</v>
      </c>
      <c r="E2507" s="11">
        <v>1700</v>
      </c>
      <c r="F2507" s="3" t="s">
        <v>8</v>
      </c>
      <c r="G2507" s="46">
        <v>9</v>
      </c>
      <c r="H2507" s="3">
        <v>11</v>
      </c>
      <c r="I2507" s="46">
        <v>0</v>
      </c>
      <c r="J2507" s="55">
        <v>0</v>
      </c>
      <c r="K2507" s="1">
        <f t="shared" ref="K2507" si="3515">(IF(F2507="SELL",G2507-H2507,IF(F2507="BUY",H2507-G2507)))*E2507</f>
        <v>3400</v>
      </c>
      <c r="L2507" s="51">
        <v>0</v>
      </c>
      <c r="M2507" s="52">
        <v>0</v>
      </c>
      <c r="N2507" s="2">
        <f t="shared" si="3439"/>
        <v>2</v>
      </c>
      <c r="O2507" s="2">
        <f t="shared" si="3464"/>
        <v>3400</v>
      </c>
      <c r="P2507" s="13"/>
      <c r="Q2507" s="13"/>
      <c r="R2507" s="13"/>
      <c r="S2507" s="13"/>
      <c r="T2507" s="13"/>
      <c r="U2507" s="13"/>
      <c r="V2507" s="13"/>
      <c r="W2507" s="13"/>
      <c r="X2507" s="13"/>
      <c r="Y2507" s="13"/>
      <c r="Z2507" s="13"/>
      <c r="AA2507" s="13"/>
      <c r="AB2507" s="13"/>
      <c r="AC2507" s="13"/>
      <c r="AD2507" s="13"/>
      <c r="AE2507" s="13"/>
      <c r="AF2507" s="13"/>
      <c r="AG2507" s="13"/>
    </row>
    <row r="2508" spans="1:33" s="14" customFormat="1" ht="15" customHeight="1">
      <c r="A2508" s="10">
        <v>42888</v>
      </c>
      <c r="B2508" s="3" t="s">
        <v>83</v>
      </c>
      <c r="C2508" s="15" t="s">
        <v>47</v>
      </c>
      <c r="D2508" s="15">
        <v>23500</v>
      </c>
      <c r="E2508" s="11">
        <v>40</v>
      </c>
      <c r="F2508" s="3" t="s">
        <v>8</v>
      </c>
      <c r="G2508" s="46">
        <v>100</v>
      </c>
      <c r="H2508" s="3">
        <v>100</v>
      </c>
      <c r="I2508" s="46">
        <v>0</v>
      </c>
      <c r="J2508" s="55">
        <v>0</v>
      </c>
      <c r="K2508" s="1">
        <f t="shared" ref="K2508" si="3516">(IF(F2508="SELL",G2508-H2508,IF(F2508="BUY",H2508-G2508)))*E2508</f>
        <v>0</v>
      </c>
      <c r="L2508" s="51">
        <v>0</v>
      </c>
      <c r="M2508" s="52">
        <v>0</v>
      </c>
      <c r="N2508" s="2">
        <f t="shared" ref="N2508:N2571" si="3517">(L2508+K2508+M2508)/E2508</f>
        <v>0</v>
      </c>
      <c r="O2508" s="2">
        <f t="shared" si="3464"/>
        <v>0</v>
      </c>
      <c r="P2508" s="13"/>
      <c r="Q2508" s="13"/>
      <c r="R2508" s="13"/>
      <c r="S2508" s="13"/>
      <c r="T2508" s="13"/>
      <c r="U2508" s="13"/>
      <c r="V2508" s="13"/>
      <c r="W2508" s="13"/>
      <c r="X2508" s="13"/>
      <c r="Y2508" s="13"/>
      <c r="Z2508" s="13"/>
      <c r="AA2508" s="13"/>
      <c r="AB2508" s="13"/>
      <c r="AC2508" s="13"/>
      <c r="AD2508" s="13"/>
      <c r="AE2508" s="13"/>
      <c r="AF2508" s="13"/>
      <c r="AG2508" s="13"/>
    </row>
    <row r="2509" spans="1:33" s="14" customFormat="1" ht="15" customHeight="1">
      <c r="A2509" s="10">
        <v>42888</v>
      </c>
      <c r="B2509" s="3" t="s">
        <v>71</v>
      </c>
      <c r="C2509" s="15" t="s">
        <v>46</v>
      </c>
      <c r="D2509" s="15">
        <v>190</v>
      </c>
      <c r="E2509" s="11">
        <v>3000</v>
      </c>
      <c r="F2509" s="3" t="s">
        <v>8</v>
      </c>
      <c r="G2509" s="46">
        <v>7</v>
      </c>
      <c r="H2509" s="3">
        <v>7</v>
      </c>
      <c r="I2509" s="46">
        <v>0</v>
      </c>
      <c r="J2509" s="55">
        <v>0</v>
      </c>
      <c r="K2509" s="1">
        <f t="shared" ref="K2509" si="3518">(IF(F2509="SELL",G2509-H2509,IF(F2509="BUY",H2509-G2509)))*E2509</f>
        <v>0</v>
      </c>
      <c r="L2509" s="51">
        <v>0</v>
      </c>
      <c r="M2509" s="52">
        <v>0</v>
      </c>
      <c r="N2509" s="2">
        <f t="shared" si="3517"/>
        <v>0</v>
      </c>
      <c r="O2509" s="2">
        <f t="shared" si="3464"/>
        <v>0</v>
      </c>
      <c r="P2509" s="13"/>
      <c r="Q2509" s="13"/>
      <c r="R2509" s="13"/>
      <c r="S2509" s="13"/>
      <c r="T2509" s="13"/>
      <c r="U2509" s="13"/>
      <c r="V2509" s="13"/>
      <c r="W2509" s="13"/>
      <c r="X2509" s="13"/>
      <c r="Y2509" s="13"/>
      <c r="Z2509" s="13"/>
      <c r="AA2509" s="13"/>
      <c r="AB2509" s="13"/>
      <c r="AC2509" s="13"/>
      <c r="AD2509" s="13"/>
      <c r="AE2509" s="13"/>
      <c r="AF2509" s="13"/>
      <c r="AG2509" s="13"/>
    </row>
    <row r="2510" spans="1:33" s="14" customFormat="1" ht="15" customHeight="1">
      <c r="A2510" s="10">
        <v>42887</v>
      </c>
      <c r="B2510" s="3" t="s">
        <v>33</v>
      </c>
      <c r="C2510" s="15" t="s">
        <v>47</v>
      </c>
      <c r="D2510" s="15">
        <v>600</v>
      </c>
      <c r="E2510" s="11">
        <v>1500</v>
      </c>
      <c r="F2510" s="3" t="s">
        <v>8</v>
      </c>
      <c r="G2510" s="46">
        <v>13</v>
      </c>
      <c r="H2510" s="3">
        <v>14</v>
      </c>
      <c r="I2510" s="46">
        <v>0</v>
      </c>
      <c r="J2510" s="55">
        <v>0</v>
      </c>
      <c r="K2510" s="1">
        <f t="shared" ref="K2510" si="3519">(IF(F2510="SELL",G2510-H2510,IF(F2510="BUY",H2510-G2510)))*E2510</f>
        <v>1500</v>
      </c>
      <c r="L2510" s="51">
        <v>0</v>
      </c>
      <c r="M2510" s="52">
        <v>0</v>
      </c>
      <c r="N2510" s="2">
        <f t="shared" si="3517"/>
        <v>1</v>
      </c>
      <c r="O2510" s="2">
        <f t="shared" si="3464"/>
        <v>1500</v>
      </c>
      <c r="P2510" s="13"/>
      <c r="Q2510" s="13"/>
      <c r="R2510" s="13"/>
      <c r="S2510" s="13"/>
      <c r="T2510" s="13"/>
      <c r="U2510" s="13"/>
      <c r="V2510" s="13"/>
      <c r="W2510" s="13"/>
      <c r="X2510" s="13"/>
      <c r="Y2510" s="13"/>
      <c r="Z2510" s="13"/>
      <c r="AA2510" s="13"/>
      <c r="AB2510" s="13"/>
      <c r="AC2510" s="13"/>
      <c r="AD2510" s="13"/>
      <c r="AE2510" s="13"/>
      <c r="AF2510" s="13"/>
      <c r="AG2510" s="13"/>
    </row>
    <row r="2511" spans="1:33" s="14" customFormat="1" ht="15" customHeight="1">
      <c r="A2511" s="10">
        <v>42887</v>
      </c>
      <c r="B2511" s="3" t="s">
        <v>23</v>
      </c>
      <c r="C2511" s="15" t="s">
        <v>47</v>
      </c>
      <c r="D2511" s="15">
        <v>480</v>
      </c>
      <c r="E2511" s="11">
        <v>1300</v>
      </c>
      <c r="F2511" s="3" t="s">
        <v>8</v>
      </c>
      <c r="G2511" s="46">
        <v>27</v>
      </c>
      <c r="H2511" s="3">
        <v>28.2</v>
      </c>
      <c r="I2511" s="46">
        <v>0</v>
      </c>
      <c r="J2511" s="55">
        <v>0</v>
      </c>
      <c r="K2511" s="1">
        <f t="shared" ref="K2511" si="3520">(IF(F2511="SELL",G2511-H2511,IF(F2511="BUY",H2511-G2511)))*E2511</f>
        <v>1559.9999999999991</v>
      </c>
      <c r="L2511" s="51">
        <v>0</v>
      </c>
      <c r="M2511" s="52">
        <v>0</v>
      </c>
      <c r="N2511" s="2">
        <f t="shared" si="3517"/>
        <v>1.1999999999999993</v>
      </c>
      <c r="O2511" s="2">
        <f t="shared" si="3464"/>
        <v>1559.9999999999991</v>
      </c>
      <c r="P2511" s="13"/>
      <c r="Q2511" s="13"/>
      <c r="R2511" s="13"/>
      <c r="S2511" s="13"/>
      <c r="T2511" s="13"/>
      <c r="U2511" s="13"/>
      <c r="V2511" s="13"/>
      <c r="W2511" s="13"/>
      <c r="X2511" s="13"/>
      <c r="Y2511" s="13"/>
      <c r="Z2511" s="13"/>
      <c r="AA2511" s="13"/>
      <c r="AB2511" s="13"/>
      <c r="AC2511" s="13"/>
      <c r="AD2511" s="13"/>
      <c r="AE2511" s="13"/>
      <c r="AF2511" s="13"/>
      <c r="AG2511" s="13"/>
    </row>
    <row r="2512" spans="1:33" s="14" customFormat="1" ht="15" customHeight="1">
      <c r="A2512" s="10">
        <v>42887</v>
      </c>
      <c r="B2512" s="3" t="s">
        <v>83</v>
      </c>
      <c r="C2512" s="15" t="s">
        <v>46</v>
      </c>
      <c r="D2512" s="15">
        <v>23300</v>
      </c>
      <c r="E2512" s="11">
        <v>40</v>
      </c>
      <c r="F2512" s="3" t="s">
        <v>8</v>
      </c>
      <c r="G2512" s="46">
        <v>30</v>
      </c>
      <c r="H2512" s="3">
        <v>45</v>
      </c>
      <c r="I2512" s="46">
        <v>70</v>
      </c>
      <c r="J2512" s="55">
        <v>0</v>
      </c>
      <c r="K2512" s="1">
        <f t="shared" ref="K2512" si="3521">(IF(F2512="SELL",G2512-H2512,IF(F2512="BUY",H2512-G2512)))*E2512</f>
        <v>600</v>
      </c>
      <c r="L2512" s="51">
        <f t="shared" ref="L2512" si="3522">(IF(F2512="SELL",IF(I2512="",0,H2512-I2512),IF(F2512="BUY",IF(I2512="",0,I2512-H2512))))*E2512</f>
        <v>1000</v>
      </c>
      <c r="M2512" s="52">
        <v>0</v>
      </c>
      <c r="N2512" s="2">
        <f t="shared" si="3517"/>
        <v>40</v>
      </c>
      <c r="O2512" s="2">
        <f t="shared" si="3464"/>
        <v>1600</v>
      </c>
      <c r="P2512" s="13"/>
      <c r="Q2512" s="13"/>
      <c r="R2512" s="13"/>
      <c r="S2512" s="13"/>
      <c r="T2512" s="13"/>
      <c r="U2512" s="13"/>
      <c r="V2512" s="13"/>
      <c r="W2512" s="13"/>
      <c r="X2512" s="13"/>
      <c r="Y2512" s="13"/>
      <c r="Z2512" s="13"/>
      <c r="AA2512" s="13"/>
      <c r="AB2512" s="13"/>
      <c r="AC2512" s="13"/>
      <c r="AD2512" s="13"/>
      <c r="AE2512" s="13"/>
      <c r="AF2512" s="13"/>
      <c r="AG2512" s="13"/>
    </row>
    <row r="2513" spans="1:33" s="14" customFormat="1" ht="15" customHeight="1">
      <c r="A2513" s="10">
        <v>42887</v>
      </c>
      <c r="B2513" s="3" t="s">
        <v>14</v>
      </c>
      <c r="C2513" s="15" t="s">
        <v>47</v>
      </c>
      <c r="D2513" s="15">
        <v>380</v>
      </c>
      <c r="E2513" s="11">
        <v>1300</v>
      </c>
      <c r="F2513" s="3" t="s">
        <v>8</v>
      </c>
      <c r="G2513" s="46">
        <v>15.5</v>
      </c>
      <c r="H2513" s="3">
        <v>15.5</v>
      </c>
      <c r="I2513" s="46">
        <v>0</v>
      </c>
      <c r="J2513" s="55">
        <v>0</v>
      </c>
      <c r="K2513" s="1">
        <f t="shared" ref="K2513" si="3523">(IF(F2513="SELL",G2513-H2513,IF(F2513="BUY",H2513-G2513)))*E2513</f>
        <v>0</v>
      </c>
      <c r="L2513" s="51">
        <v>0</v>
      </c>
      <c r="M2513" s="52">
        <v>0</v>
      </c>
      <c r="N2513" s="2">
        <f t="shared" si="3517"/>
        <v>0</v>
      </c>
      <c r="O2513" s="2">
        <f t="shared" si="3464"/>
        <v>0</v>
      </c>
      <c r="P2513" s="13"/>
      <c r="Q2513" s="13"/>
      <c r="R2513" s="13"/>
      <c r="S2513" s="13"/>
      <c r="T2513" s="13"/>
      <c r="U2513" s="13"/>
      <c r="V2513" s="13"/>
      <c r="W2513" s="13"/>
      <c r="X2513" s="13"/>
      <c r="Y2513" s="13"/>
      <c r="Z2513" s="13"/>
      <c r="AA2513" s="13"/>
      <c r="AB2513" s="13"/>
      <c r="AC2513" s="13"/>
      <c r="AD2513" s="13"/>
      <c r="AE2513" s="13"/>
      <c r="AF2513" s="13"/>
      <c r="AG2513" s="13"/>
    </row>
    <row r="2514" spans="1:33" s="14" customFormat="1" ht="15" customHeight="1">
      <c r="A2514" s="10">
        <v>42886</v>
      </c>
      <c r="B2514" s="3" t="s">
        <v>104</v>
      </c>
      <c r="C2514" s="15" t="s">
        <v>47</v>
      </c>
      <c r="D2514" s="15">
        <v>1200</v>
      </c>
      <c r="E2514" s="11">
        <v>400</v>
      </c>
      <c r="F2514" s="3" t="s">
        <v>8</v>
      </c>
      <c r="G2514" s="46">
        <v>30</v>
      </c>
      <c r="H2514" s="3">
        <v>30</v>
      </c>
      <c r="I2514" s="46">
        <v>0</v>
      </c>
      <c r="J2514" s="55">
        <v>0</v>
      </c>
      <c r="K2514" s="1">
        <f t="shared" ref="K2514" si="3524">(IF(F2514="SELL",G2514-H2514,IF(F2514="BUY",H2514-G2514)))*E2514</f>
        <v>0</v>
      </c>
      <c r="L2514" s="51">
        <v>0</v>
      </c>
      <c r="M2514" s="52">
        <v>0</v>
      </c>
      <c r="N2514" s="2">
        <f t="shared" si="3517"/>
        <v>0</v>
      </c>
      <c r="O2514" s="2">
        <f t="shared" si="3464"/>
        <v>0</v>
      </c>
      <c r="P2514" s="13"/>
      <c r="Q2514" s="13"/>
      <c r="R2514" s="13"/>
      <c r="S2514" s="13"/>
      <c r="T2514" s="13"/>
      <c r="U2514" s="13"/>
      <c r="V2514" s="13"/>
      <c r="W2514" s="13"/>
      <c r="X2514" s="13"/>
      <c r="Y2514" s="13"/>
      <c r="Z2514" s="13"/>
      <c r="AA2514" s="13"/>
      <c r="AB2514" s="13"/>
      <c r="AC2514" s="13"/>
      <c r="AD2514" s="13"/>
      <c r="AE2514" s="13"/>
      <c r="AF2514" s="13"/>
      <c r="AG2514" s="13"/>
    </row>
    <row r="2515" spans="1:33" s="14" customFormat="1" ht="15" customHeight="1">
      <c r="A2515" s="10">
        <v>42886</v>
      </c>
      <c r="B2515" s="3" t="s">
        <v>93</v>
      </c>
      <c r="C2515" s="15" t="s">
        <v>47</v>
      </c>
      <c r="D2515" s="15">
        <v>160</v>
      </c>
      <c r="E2515" s="11">
        <v>7000</v>
      </c>
      <c r="F2515" s="3" t="s">
        <v>8</v>
      </c>
      <c r="G2515" s="46">
        <v>6.25</v>
      </c>
      <c r="H2515" s="3">
        <v>6.25</v>
      </c>
      <c r="I2515" s="46">
        <v>0</v>
      </c>
      <c r="J2515" s="55">
        <v>0</v>
      </c>
      <c r="K2515" s="1">
        <f t="shared" ref="K2515" si="3525">(IF(F2515="SELL",G2515-H2515,IF(F2515="BUY",H2515-G2515)))*E2515</f>
        <v>0</v>
      </c>
      <c r="L2515" s="51">
        <v>0</v>
      </c>
      <c r="M2515" s="52">
        <v>0</v>
      </c>
      <c r="N2515" s="2">
        <f t="shared" si="3517"/>
        <v>0</v>
      </c>
      <c r="O2515" s="2">
        <f t="shared" si="3464"/>
        <v>0</v>
      </c>
      <c r="P2515" s="13"/>
      <c r="Q2515" s="13"/>
      <c r="R2515" s="13"/>
      <c r="S2515" s="13"/>
      <c r="T2515" s="13"/>
      <c r="U2515" s="13"/>
      <c r="V2515" s="13"/>
      <c r="W2515" s="13"/>
      <c r="X2515" s="13"/>
      <c r="Y2515" s="13"/>
      <c r="Z2515" s="13"/>
      <c r="AA2515" s="13"/>
      <c r="AB2515" s="13"/>
      <c r="AC2515" s="13"/>
      <c r="AD2515" s="13"/>
      <c r="AE2515" s="13"/>
      <c r="AF2515" s="13"/>
      <c r="AG2515" s="13"/>
    </row>
    <row r="2516" spans="1:33" s="14" customFormat="1" ht="15" customHeight="1">
      <c r="A2516" s="10">
        <v>42886</v>
      </c>
      <c r="B2516" s="3" t="s">
        <v>66</v>
      </c>
      <c r="C2516" s="15" t="s">
        <v>47</v>
      </c>
      <c r="D2516" s="15">
        <v>480</v>
      </c>
      <c r="E2516" s="11">
        <v>1000</v>
      </c>
      <c r="F2516" s="3" t="s">
        <v>8</v>
      </c>
      <c r="G2516" s="46">
        <v>20</v>
      </c>
      <c r="H2516" s="3">
        <v>22</v>
      </c>
      <c r="I2516" s="46">
        <v>25</v>
      </c>
      <c r="J2516" s="55">
        <v>0</v>
      </c>
      <c r="K2516" s="1">
        <f t="shared" ref="K2516" si="3526">(IF(F2516="SELL",G2516-H2516,IF(F2516="BUY",H2516-G2516)))*E2516</f>
        <v>2000</v>
      </c>
      <c r="L2516" s="51">
        <f t="shared" ref="L2516" si="3527">(IF(F2516="SELL",IF(I2516="",0,H2516-I2516),IF(F2516="BUY",IF(I2516="",0,I2516-H2516))))*E2516</f>
        <v>3000</v>
      </c>
      <c r="M2516" s="52">
        <v>0</v>
      </c>
      <c r="N2516" s="2">
        <f t="shared" si="3517"/>
        <v>5</v>
      </c>
      <c r="O2516" s="2">
        <f t="shared" si="3464"/>
        <v>5000</v>
      </c>
      <c r="P2516" s="13"/>
      <c r="Q2516" s="13"/>
      <c r="R2516" s="13"/>
      <c r="S2516" s="13"/>
      <c r="T2516" s="13"/>
      <c r="U2516" s="13"/>
      <c r="V2516" s="13"/>
      <c r="W2516" s="13"/>
      <c r="X2516" s="13"/>
      <c r="Y2516" s="13"/>
      <c r="Z2516" s="13"/>
      <c r="AA2516" s="13"/>
      <c r="AB2516" s="13"/>
      <c r="AC2516" s="13"/>
      <c r="AD2516" s="13"/>
      <c r="AE2516" s="13"/>
      <c r="AF2516" s="13"/>
      <c r="AG2516" s="13"/>
    </row>
    <row r="2517" spans="1:33" s="14" customFormat="1" ht="15" customHeight="1">
      <c r="A2517" s="10">
        <v>42886</v>
      </c>
      <c r="B2517" s="3" t="s">
        <v>83</v>
      </c>
      <c r="C2517" s="15" t="s">
        <v>46</v>
      </c>
      <c r="D2517" s="15">
        <v>23300</v>
      </c>
      <c r="E2517" s="11">
        <v>40</v>
      </c>
      <c r="F2517" s="3" t="s">
        <v>8</v>
      </c>
      <c r="G2517" s="46">
        <v>95</v>
      </c>
      <c r="H2517" s="3">
        <v>105</v>
      </c>
      <c r="I2517" s="46">
        <v>120</v>
      </c>
      <c r="J2517" s="55">
        <v>0</v>
      </c>
      <c r="K2517" s="1">
        <f t="shared" ref="K2517" si="3528">(IF(F2517="SELL",G2517-H2517,IF(F2517="BUY",H2517-G2517)))*E2517</f>
        <v>400</v>
      </c>
      <c r="L2517" s="51">
        <f t="shared" ref="L2517" si="3529">(IF(F2517="SELL",IF(I2517="",0,H2517-I2517),IF(F2517="BUY",IF(I2517="",0,I2517-H2517))))*E2517</f>
        <v>600</v>
      </c>
      <c r="M2517" s="52">
        <v>0</v>
      </c>
      <c r="N2517" s="2">
        <f t="shared" si="3517"/>
        <v>25</v>
      </c>
      <c r="O2517" s="2">
        <f t="shared" si="3464"/>
        <v>1000</v>
      </c>
      <c r="P2517" s="13"/>
      <c r="Q2517" s="13"/>
      <c r="R2517" s="13"/>
      <c r="S2517" s="13"/>
      <c r="T2517" s="13"/>
      <c r="U2517" s="13"/>
      <c r="V2517" s="13"/>
      <c r="W2517" s="13"/>
      <c r="X2517" s="13"/>
      <c r="Y2517" s="13"/>
      <c r="Z2517" s="13"/>
      <c r="AA2517" s="13"/>
      <c r="AB2517" s="13"/>
      <c r="AC2517" s="13"/>
      <c r="AD2517" s="13"/>
      <c r="AE2517" s="13"/>
      <c r="AF2517" s="13"/>
      <c r="AG2517" s="13"/>
    </row>
    <row r="2518" spans="1:33" s="14" customFormat="1" ht="15" customHeight="1">
      <c r="A2518" s="10">
        <v>42886</v>
      </c>
      <c r="B2518" s="3" t="s">
        <v>59</v>
      </c>
      <c r="C2518" s="15" t="s">
        <v>47</v>
      </c>
      <c r="D2518" s="15">
        <v>160</v>
      </c>
      <c r="E2518" s="11">
        <v>4000</v>
      </c>
      <c r="F2518" s="3" t="s">
        <v>8</v>
      </c>
      <c r="G2518" s="46">
        <v>6</v>
      </c>
      <c r="H2518" s="3">
        <v>6</v>
      </c>
      <c r="I2518" s="46">
        <v>0</v>
      </c>
      <c r="J2518" s="55">
        <v>0</v>
      </c>
      <c r="K2518" s="1">
        <f t="shared" ref="K2518" si="3530">(IF(F2518="SELL",G2518-H2518,IF(F2518="BUY",H2518-G2518)))*E2518</f>
        <v>0</v>
      </c>
      <c r="L2518" s="51">
        <v>0</v>
      </c>
      <c r="M2518" s="52">
        <f t="shared" ref="M2518:M2544" si="3531">(IF(F2518="SELL",IF(J2518="",0,I2518-J2518),IF(F2518="BUY",IF(J2518="",0,(J2518-I2518)))))*E2518</f>
        <v>0</v>
      </c>
      <c r="N2518" s="2">
        <f t="shared" si="3517"/>
        <v>0</v>
      </c>
      <c r="O2518" s="2">
        <f t="shared" si="3464"/>
        <v>0</v>
      </c>
      <c r="P2518" s="13"/>
      <c r="Q2518" s="13"/>
      <c r="R2518" s="13"/>
      <c r="S2518" s="13"/>
      <c r="T2518" s="13"/>
      <c r="U2518" s="13"/>
      <c r="V2518" s="13"/>
      <c r="W2518" s="13"/>
      <c r="X2518" s="13"/>
      <c r="Y2518" s="13"/>
      <c r="Z2518" s="13"/>
      <c r="AA2518" s="13"/>
      <c r="AB2518" s="13"/>
      <c r="AC2518" s="13"/>
      <c r="AD2518" s="13"/>
      <c r="AE2518" s="13"/>
      <c r="AF2518" s="13"/>
      <c r="AG2518" s="13"/>
    </row>
    <row r="2519" spans="1:33" s="14" customFormat="1" ht="15" customHeight="1">
      <c r="A2519" s="10">
        <v>42885</v>
      </c>
      <c r="B2519" s="3" t="s">
        <v>25</v>
      </c>
      <c r="C2519" s="15" t="s">
        <v>46</v>
      </c>
      <c r="D2519" s="15">
        <v>135</v>
      </c>
      <c r="E2519" s="11">
        <v>5000</v>
      </c>
      <c r="F2519" s="3" t="s">
        <v>8</v>
      </c>
      <c r="G2519" s="46">
        <v>6</v>
      </c>
      <c r="H2519" s="3">
        <v>6</v>
      </c>
      <c r="I2519" s="46">
        <v>0</v>
      </c>
      <c r="J2519" s="55">
        <v>0</v>
      </c>
      <c r="K2519" s="1">
        <f t="shared" ref="K2519" si="3532">(IF(F2519="SELL",G2519-H2519,IF(F2519="BUY",H2519-G2519)))*E2519</f>
        <v>0</v>
      </c>
      <c r="L2519" s="51">
        <v>0</v>
      </c>
      <c r="M2519" s="52">
        <f t="shared" si="3531"/>
        <v>0</v>
      </c>
      <c r="N2519" s="2">
        <f t="shared" si="3517"/>
        <v>0</v>
      </c>
      <c r="O2519" s="2">
        <f t="shared" si="3464"/>
        <v>0</v>
      </c>
      <c r="P2519" s="13"/>
      <c r="Q2519" s="13"/>
      <c r="R2519" s="13"/>
      <c r="S2519" s="13"/>
      <c r="T2519" s="13"/>
      <c r="U2519" s="13"/>
      <c r="V2519" s="13"/>
      <c r="W2519" s="13"/>
      <c r="X2519" s="13"/>
      <c r="Y2519" s="13"/>
      <c r="Z2519" s="13"/>
      <c r="AA2519" s="13"/>
      <c r="AB2519" s="13"/>
      <c r="AC2519" s="13"/>
      <c r="AD2519" s="13"/>
      <c r="AE2519" s="13"/>
      <c r="AF2519" s="13"/>
      <c r="AG2519" s="13"/>
    </row>
    <row r="2520" spans="1:33" s="14" customFormat="1" ht="15" customHeight="1">
      <c r="A2520" s="10">
        <v>42885</v>
      </c>
      <c r="B2520" s="3" t="s">
        <v>119</v>
      </c>
      <c r="C2520" s="15" t="s">
        <v>47</v>
      </c>
      <c r="D2520" s="15">
        <v>560</v>
      </c>
      <c r="E2520" s="11">
        <v>1100</v>
      </c>
      <c r="F2520" s="3" t="s">
        <v>8</v>
      </c>
      <c r="G2520" s="46">
        <v>20</v>
      </c>
      <c r="H2520" s="3">
        <v>22</v>
      </c>
      <c r="I2520" s="46">
        <v>0</v>
      </c>
      <c r="J2520" s="55">
        <v>0</v>
      </c>
      <c r="K2520" s="1">
        <f t="shared" ref="K2520" si="3533">(IF(F2520="SELL",G2520-H2520,IF(F2520="BUY",H2520-G2520)))*E2520</f>
        <v>2200</v>
      </c>
      <c r="L2520" s="51">
        <v>0</v>
      </c>
      <c r="M2520" s="52">
        <f t="shared" si="3531"/>
        <v>0</v>
      </c>
      <c r="N2520" s="2">
        <f t="shared" si="3517"/>
        <v>2</v>
      </c>
      <c r="O2520" s="2">
        <f t="shared" si="3464"/>
        <v>2200</v>
      </c>
      <c r="P2520" s="13"/>
      <c r="Q2520" s="13"/>
      <c r="R2520" s="13"/>
      <c r="S2520" s="13"/>
      <c r="T2520" s="13"/>
      <c r="U2520" s="13"/>
      <c r="V2520" s="13"/>
      <c r="W2520" s="13"/>
      <c r="X2520" s="13"/>
      <c r="Y2520" s="13"/>
      <c r="Z2520" s="13"/>
      <c r="AA2520" s="13"/>
      <c r="AB2520" s="13"/>
      <c r="AC2520" s="13"/>
      <c r="AD2520" s="13"/>
      <c r="AE2520" s="13"/>
      <c r="AF2520" s="13"/>
      <c r="AG2520" s="13"/>
    </row>
    <row r="2521" spans="1:33" s="14" customFormat="1" ht="15" customHeight="1">
      <c r="A2521" s="10">
        <v>42885</v>
      </c>
      <c r="B2521" s="3" t="s">
        <v>83</v>
      </c>
      <c r="C2521" s="15" t="s">
        <v>46</v>
      </c>
      <c r="D2521" s="15">
        <v>23000</v>
      </c>
      <c r="E2521" s="11">
        <v>40</v>
      </c>
      <c r="F2521" s="3" t="s">
        <v>8</v>
      </c>
      <c r="G2521" s="46">
        <v>90</v>
      </c>
      <c r="H2521" s="3">
        <v>90</v>
      </c>
      <c r="I2521" s="46">
        <v>0</v>
      </c>
      <c r="J2521" s="55">
        <v>0</v>
      </c>
      <c r="K2521" s="1">
        <f t="shared" ref="K2521" si="3534">(IF(F2521="SELL",G2521-H2521,IF(F2521="BUY",H2521-G2521)))*E2521</f>
        <v>0</v>
      </c>
      <c r="L2521" s="51">
        <v>0</v>
      </c>
      <c r="M2521" s="52">
        <f t="shared" si="3531"/>
        <v>0</v>
      </c>
      <c r="N2521" s="2">
        <f t="shared" si="3517"/>
        <v>0</v>
      </c>
      <c r="O2521" s="2">
        <f t="shared" si="3464"/>
        <v>0</v>
      </c>
      <c r="P2521" s="13"/>
      <c r="Q2521" s="13"/>
      <c r="R2521" s="13"/>
      <c r="S2521" s="13"/>
      <c r="T2521" s="13"/>
      <c r="U2521" s="13"/>
      <c r="V2521" s="13"/>
      <c r="W2521" s="13"/>
      <c r="X2521" s="13"/>
      <c r="Y2521" s="13"/>
      <c r="Z2521" s="13"/>
      <c r="AA2521" s="13"/>
      <c r="AB2521" s="13"/>
      <c r="AC2521" s="13"/>
      <c r="AD2521" s="13"/>
      <c r="AE2521" s="13"/>
      <c r="AF2521" s="13"/>
      <c r="AG2521" s="13"/>
    </row>
    <row r="2522" spans="1:33" s="14" customFormat="1" ht="15" customHeight="1">
      <c r="A2522" s="10">
        <v>42885</v>
      </c>
      <c r="B2522" s="3" t="s">
        <v>30</v>
      </c>
      <c r="C2522" s="15" t="s">
        <v>47</v>
      </c>
      <c r="D2522" s="15">
        <v>330</v>
      </c>
      <c r="E2522" s="11">
        <v>2500</v>
      </c>
      <c r="F2522" s="3" t="s">
        <v>8</v>
      </c>
      <c r="G2522" s="46">
        <v>6</v>
      </c>
      <c r="H2522" s="3">
        <v>6</v>
      </c>
      <c r="I2522" s="46">
        <v>0</v>
      </c>
      <c r="J2522" s="55">
        <v>0</v>
      </c>
      <c r="K2522" s="1">
        <f t="shared" ref="K2522" si="3535">(IF(F2522="SELL",G2522-H2522,IF(F2522="BUY",H2522-G2522)))*E2522</f>
        <v>0</v>
      </c>
      <c r="L2522" s="51">
        <v>0</v>
      </c>
      <c r="M2522" s="52">
        <f t="shared" si="3531"/>
        <v>0</v>
      </c>
      <c r="N2522" s="2">
        <f t="shared" si="3517"/>
        <v>0</v>
      </c>
      <c r="O2522" s="2">
        <f t="shared" si="3464"/>
        <v>0</v>
      </c>
      <c r="P2522" s="13"/>
      <c r="Q2522" s="13"/>
      <c r="R2522" s="13"/>
      <c r="S2522" s="13"/>
      <c r="T2522" s="13"/>
      <c r="U2522" s="13"/>
      <c r="V2522" s="13"/>
      <c r="W2522" s="13"/>
      <c r="X2522" s="13"/>
      <c r="Y2522" s="13"/>
      <c r="Z2522" s="13"/>
      <c r="AA2522" s="13"/>
      <c r="AB2522" s="13"/>
      <c r="AC2522" s="13"/>
      <c r="AD2522" s="13"/>
      <c r="AE2522" s="13"/>
      <c r="AF2522" s="13"/>
      <c r="AG2522" s="13"/>
    </row>
    <row r="2523" spans="1:33" s="14" customFormat="1" ht="15" customHeight="1">
      <c r="A2523" s="10">
        <v>42881</v>
      </c>
      <c r="B2523" s="3" t="s">
        <v>25</v>
      </c>
      <c r="C2523" s="15" t="s">
        <v>47</v>
      </c>
      <c r="D2523" s="15">
        <v>155</v>
      </c>
      <c r="E2523" s="11">
        <v>5000</v>
      </c>
      <c r="F2523" s="3" t="s">
        <v>8</v>
      </c>
      <c r="G2523" s="46">
        <v>8.5</v>
      </c>
      <c r="H2523" s="3">
        <v>8.5</v>
      </c>
      <c r="I2523" s="46">
        <v>0</v>
      </c>
      <c r="J2523" s="55">
        <v>0</v>
      </c>
      <c r="K2523" s="1">
        <f t="shared" ref="K2523" si="3536">(IF(F2523="SELL",G2523-H2523,IF(F2523="BUY",H2523-G2523)))*E2523</f>
        <v>0</v>
      </c>
      <c r="L2523" s="51">
        <v>0</v>
      </c>
      <c r="M2523" s="52">
        <f t="shared" si="3531"/>
        <v>0</v>
      </c>
      <c r="N2523" s="2">
        <f t="shared" si="3517"/>
        <v>0</v>
      </c>
      <c r="O2523" s="2">
        <f t="shared" si="3464"/>
        <v>0</v>
      </c>
      <c r="P2523" s="13"/>
      <c r="Q2523" s="13"/>
      <c r="R2523" s="13"/>
      <c r="S2523" s="13"/>
      <c r="T2523" s="13"/>
      <c r="U2523" s="13"/>
      <c r="V2523" s="13"/>
      <c r="W2523" s="13"/>
      <c r="X2523" s="13"/>
      <c r="Y2523" s="13"/>
      <c r="Z2523" s="13"/>
      <c r="AA2523" s="13"/>
      <c r="AB2523" s="13"/>
      <c r="AC2523" s="13"/>
      <c r="AD2523" s="13"/>
      <c r="AE2523" s="13"/>
      <c r="AF2523" s="13"/>
      <c r="AG2523" s="13"/>
    </row>
    <row r="2524" spans="1:33" s="14" customFormat="1" ht="15" customHeight="1">
      <c r="A2524" s="10">
        <v>42881</v>
      </c>
      <c r="B2524" s="3" t="s">
        <v>99</v>
      </c>
      <c r="C2524" s="15" t="s">
        <v>47</v>
      </c>
      <c r="D2524" s="15">
        <v>430</v>
      </c>
      <c r="E2524" s="11">
        <v>3000</v>
      </c>
      <c r="F2524" s="3" t="s">
        <v>8</v>
      </c>
      <c r="G2524" s="46">
        <v>10</v>
      </c>
      <c r="H2524" s="3">
        <v>11</v>
      </c>
      <c r="I2524" s="46">
        <v>0</v>
      </c>
      <c r="J2524" s="55">
        <v>0</v>
      </c>
      <c r="K2524" s="1">
        <f t="shared" ref="K2524" si="3537">(IF(F2524="SELL",G2524-H2524,IF(F2524="BUY",H2524-G2524)))*E2524</f>
        <v>3000</v>
      </c>
      <c r="L2524" s="51">
        <v>0</v>
      </c>
      <c r="M2524" s="52">
        <f t="shared" si="3531"/>
        <v>0</v>
      </c>
      <c r="N2524" s="2">
        <f t="shared" si="3517"/>
        <v>1</v>
      </c>
      <c r="O2524" s="2">
        <f t="shared" si="3464"/>
        <v>3000</v>
      </c>
      <c r="P2524" s="13"/>
      <c r="Q2524" s="13"/>
      <c r="R2524" s="13"/>
      <c r="S2524" s="13"/>
      <c r="T2524" s="13"/>
      <c r="U2524" s="13"/>
      <c r="V2524" s="13"/>
      <c r="W2524" s="13"/>
      <c r="X2524" s="13"/>
      <c r="Y2524" s="13"/>
      <c r="Z2524" s="13"/>
      <c r="AA2524" s="13"/>
      <c r="AB2524" s="13"/>
      <c r="AC2524" s="13"/>
      <c r="AD2524" s="13"/>
      <c r="AE2524" s="13"/>
      <c r="AF2524" s="13"/>
      <c r="AG2524" s="13"/>
    </row>
    <row r="2525" spans="1:33" s="14" customFormat="1" ht="15" customHeight="1">
      <c r="A2525" s="10">
        <v>42881</v>
      </c>
      <c r="B2525" s="3" t="s">
        <v>76</v>
      </c>
      <c r="C2525" s="15" t="s">
        <v>47</v>
      </c>
      <c r="D2525" s="15">
        <v>9600</v>
      </c>
      <c r="E2525" s="11">
        <v>75</v>
      </c>
      <c r="F2525" s="3" t="s">
        <v>118</v>
      </c>
      <c r="G2525" s="46">
        <v>70</v>
      </c>
      <c r="H2525" s="3">
        <v>70</v>
      </c>
      <c r="I2525" s="46">
        <v>0</v>
      </c>
      <c r="J2525" s="55">
        <v>0</v>
      </c>
      <c r="K2525" s="1">
        <f t="shared" ref="K2525" si="3538">(IF(F2525="SELL",G2525-H2525,IF(F2525="BUY",H2525-G2525)))*E2525</f>
        <v>0</v>
      </c>
      <c r="L2525" s="51">
        <v>0</v>
      </c>
      <c r="M2525" s="52">
        <f t="shared" si="3531"/>
        <v>0</v>
      </c>
      <c r="N2525" s="2">
        <f t="shared" si="3517"/>
        <v>0</v>
      </c>
      <c r="O2525" s="2">
        <f t="shared" si="3464"/>
        <v>0</v>
      </c>
      <c r="P2525" s="13"/>
      <c r="Q2525" s="13"/>
      <c r="R2525" s="13"/>
      <c r="S2525" s="13"/>
      <c r="T2525" s="13"/>
      <c r="U2525" s="13"/>
      <c r="V2525" s="13"/>
      <c r="W2525" s="13"/>
      <c r="X2525" s="13"/>
      <c r="Y2525" s="13"/>
      <c r="Z2525" s="13"/>
      <c r="AA2525" s="13"/>
      <c r="AB2525" s="13"/>
      <c r="AC2525" s="13"/>
      <c r="AD2525" s="13"/>
      <c r="AE2525" s="13"/>
      <c r="AF2525" s="13"/>
      <c r="AG2525" s="13"/>
    </row>
    <row r="2526" spans="1:33" s="14" customFormat="1" ht="15" customHeight="1">
      <c r="A2526" s="10">
        <v>42881</v>
      </c>
      <c r="B2526" s="3" t="s">
        <v>83</v>
      </c>
      <c r="C2526" s="15" t="s">
        <v>46</v>
      </c>
      <c r="D2526" s="15">
        <v>22800</v>
      </c>
      <c r="E2526" s="11">
        <v>40</v>
      </c>
      <c r="F2526" s="3" t="s">
        <v>8</v>
      </c>
      <c r="G2526" s="46">
        <v>65</v>
      </c>
      <c r="H2526" s="3">
        <v>35</v>
      </c>
      <c r="I2526" s="46">
        <v>0</v>
      </c>
      <c r="J2526" s="55">
        <v>0</v>
      </c>
      <c r="K2526" s="1">
        <f t="shared" ref="K2526" si="3539">(IF(F2526="SELL",G2526-H2526,IF(F2526="BUY",H2526-G2526)))*E2526</f>
        <v>-1200</v>
      </c>
      <c r="L2526" s="51">
        <v>0</v>
      </c>
      <c r="M2526" s="52">
        <f t="shared" si="3531"/>
        <v>0</v>
      </c>
      <c r="N2526" s="2">
        <f t="shared" si="3517"/>
        <v>-30</v>
      </c>
      <c r="O2526" s="2">
        <f t="shared" si="3464"/>
        <v>-1200</v>
      </c>
      <c r="P2526" s="13"/>
      <c r="Q2526" s="13"/>
      <c r="R2526" s="13"/>
      <c r="S2526" s="13"/>
      <c r="T2526" s="13"/>
      <c r="U2526" s="13"/>
      <c r="V2526" s="13"/>
      <c r="W2526" s="13"/>
      <c r="X2526" s="13"/>
      <c r="Y2526" s="13"/>
      <c r="Z2526" s="13"/>
      <c r="AA2526" s="13"/>
      <c r="AB2526" s="13"/>
      <c r="AC2526" s="13"/>
      <c r="AD2526" s="13"/>
      <c r="AE2526" s="13"/>
      <c r="AF2526" s="13"/>
      <c r="AG2526" s="13"/>
    </row>
    <row r="2527" spans="1:33" s="14" customFormat="1" ht="15" customHeight="1">
      <c r="A2527" s="10">
        <v>42881</v>
      </c>
      <c r="B2527" s="3" t="s">
        <v>11</v>
      </c>
      <c r="C2527" s="15" t="s">
        <v>47</v>
      </c>
      <c r="D2527" s="15">
        <v>720</v>
      </c>
      <c r="E2527" s="11">
        <v>1000</v>
      </c>
      <c r="F2527" s="3" t="s">
        <v>8</v>
      </c>
      <c r="G2527" s="46">
        <v>4</v>
      </c>
      <c r="H2527" s="3">
        <v>4</v>
      </c>
      <c r="I2527" s="46">
        <v>0</v>
      </c>
      <c r="J2527" s="55">
        <v>0</v>
      </c>
      <c r="K2527" s="1">
        <f t="shared" ref="K2527" si="3540">(IF(F2527="SELL",G2527-H2527,IF(F2527="BUY",H2527-G2527)))*E2527</f>
        <v>0</v>
      </c>
      <c r="L2527" s="51">
        <v>0</v>
      </c>
      <c r="M2527" s="52">
        <f t="shared" si="3531"/>
        <v>0</v>
      </c>
      <c r="N2527" s="2">
        <f t="shared" si="3517"/>
        <v>0</v>
      </c>
      <c r="O2527" s="2">
        <f t="shared" si="3464"/>
        <v>0</v>
      </c>
      <c r="P2527" s="13"/>
      <c r="Q2527" s="13"/>
      <c r="R2527" s="13"/>
      <c r="S2527" s="13"/>
      <c r="T2527" s="13"/>
      <c r="U2527" s="13"/>
      <c r="V2527" s="13"/>
      <c r="W2527" s="13"/>
      <c r="X2527" s="13"/>
      <c r="Y2527" s="13"/>
      <c r="Z2527" s="13"/>
      <c r="AA2527" s="13"/>
      <c r="AB2527" s="13"/>
      <c r="AC2527" s="13"/>
      <c r="AD2527" s="13"/>
      <c r="AE2527" s="13"/>
      <c r="AF2527" s="13"/>
      <c r="AG2527" s="13"/>
    </row>
    <row r="2528" spans="1:33" s="14" customFormat="1" ht="15" customHeight="1">
      <c r="A2528" s="10">
        <v>42880</v>
      </c>
      <c r="B2528" s="3" t="s">
        <v>22</v>
      </c>
      <c r="C2528" s="15" t="s">
        <v>47</v>
      </c>
      <c r="D2528" s="15">
        <v>195</v>
      </c>
      <c r="E2528" s="11">
        <v>5000</v>
      </c>
      <c r="F2528" s="3" t="s">
        <v>8</v>
      </c>
      <c r="G2528" s="46">
        <v>10</v>
      </c>
      <c r="H2528" s="3">
        <v>10.5</v>
      </c>
      <c r="I2528" s="46">
        <v>0</v>
      </c>
      <c r="J2528" s="55">
        <v>0</v>
      </c>
      <c r="K2528" s="1">
        <f t="shared" ref="K2528" si="3541">(IF(F2528="SELL",G2528-H2528,IF(F2528="BUY",H2528-G2528)))*E2528</f>
        <v>2500</v>
      </c>
      <c r="L2528" s="51">
        <v>0</v>
      </c>
      <c r="M2528" s="52">
        <f t="shared" si="3531"/>
        <v>0</v>
      </c>
      <c r="N2528" s="2">
        <f t="shared" si="3517"/>
        <v>0.5</v>
      </c>
      <c r="O2528" s="2">
        <f t="shared" ref="O2528:O2591" si="3542">N2528*E2528</f>
        <v>2500</v>
      </c>
      <c r="P2528" s="13"/>
      <c r="Q2528" s="13"/>
      <c r="R2528" s="13"/>
      <c r="S2528" s="13"/>
      <c r="T2528" s="13"/>
      <c r="U2528" s="13"/>
      <c r="V2528" s="13"/>
      <c r="W2528" s="13"/>
      <c r="X2528" s="13"/>
      <c r="Y2528" s="13"/>
      <c r="Z2528" s="13"/>
      <c r="AA2528" s="13"/>
      <c r="AB2528" s="13"/>
      <c r="AC2528" s="13"/>
      <c r="AD2528" s="13"/>
      <c r="AE2528" s="13"/>
      <c r="AF2528" s="13"/>
      <c r="AG2528" s="13"/>
    </row>
    <row r="2529" spans="1:33" s="14" customFormat="1" ht="15" customHeight="1">
      <c r="A2529" s="10">
        <v>42880</v>
      </c>
      <c r="B2529" s="3" t="s">
        <v>60</v>
      </c>
      <c r="C2529" s="15" t="s">
        <v>47</v>
      </c>
      <c r="D2529" s="15">
        <v>230</v>
      </c>
      <c r="E2529" s="11">
        <v>3500</v>
      </c>
      <c r="F2529" s="3" t="s">
        <v>8</v>
      </c>
      <c r="G2529" s="46">
        <v>9.5</v>
      </c>
      <c r="H2529" s="3">
        <v>9.9</v>
      </c>
      <c r="I2529" s="46">
        <v>0</v>
      </c>
      <c r="J2529" s="55">
        <v>0</v>
      </c>
      <c r="K2529" s="1">
        <f t="shared" ref="K2529" si="3543">(IF(F2529="SELL",G2529-H2529,IF(F2529="BUY",H2529-G2529)))*E2529</f>
        <v>1400.0000000000011</v>
      </c>
      <c r="L2529" s="51">
        <v>0</v>
      </c>
      <c r="M2529" s="52">
        <f t="shared" si="3531"/>
        <v>0</v>
      </c>
      <c r="N2529" s="2">
        <f t="shared" si="3517"/>
        <v>0.4000000000000003</v>
      </c>
      <c r="O2529" s="2">
        <f t="shared" si="3542"/>
        <v>1400.0000000000011</v>
      </c>
      <c r="P2529" s="13"/>
      <c r="Q2529" s="13"/>
      <c r="R2529" s="13"/>
      <c r="S2529" s="13"/>
      <c r="T2529" s="13"/>
      <c r="U2529" s="13"/>
      <c r="V2529" s="13"/>
      <c r="W2529" s="13"/>
      <c r="X2529" s="13"/>
      <c r="Y2529" s="13"/>
      <c r="Z2529" s="13"/>
      <c r="AA2529" s="13"/>
      <c r="AB2529" s="13"/>
      <c r="AC2529" s="13"/>
      <c r="AD2529" s="13"/>
      <c r="AE2529" s="13"/>
      <c r="AF2529" s="13"/>
      <c r="AG2529" s="13"/>
    </row>
    <row r="2530" spans="1:33" s="14" customFormat="1" ht="15" customHeight="1">
      <c r="A2530" s="10">
        <v>42880</v>
      </c>
      <c r="B2530" s="3" t="s">
        <v>83</v>
      </c>
      <c r="C2530" s="15" t="s">
        <v>46</v>
      </c>
      <c r="D2530" s="15">
        <v>22600</v>
      </c>
      <c r="E2530" s="11">
        <v>40</v>
      </c>
      <c r="F2530" s="3" t="s">
        <v>8</v>
      </c>
      <c r="G2530" s="46">
        <v>35</v>
      </c>
      <c r="H2530" s="3">
        <v>45</v>
      </c>
      <c r="I2530" s="46">
        <v>0</v>
      </c>
      <c r="J2530" s="55">
        <v>0</v>
      </c>
      <c r="K2530" s="1">
        <f t="shared" ref="K2530" si="3544">(IF(F2530="SELL",G2530-H2530,IF(F2530="BUY",H2530-G2530)))*E2530</f>
        <v>400</v>
      </c>
      <c r="L2530" s="51">
        <v>0</v>
      </c>
      <c r="M2530" s="52">
        <f t="shared" si="3531"/>
        <v>0</v>
      </c>
      <c r="N2530" s="2">
        <f t="shared" si="3517"/>
        <v>10</v>
      </c>
      <c r="O2530" s="2">
        <f t="shared" si="3542"/>
        <v>400</v>
      </c>
      <c r="P2530" s="13"/>
      <c r="Q2530" s="13"/>
      <c r="R2530" s="13"/>
      <c r="S2530" s="13"/>
      <c r="T2530" s="13"/>
      <c r="U2530" s="13"/>
      <c r="V2530" s="13"/>
      <c r="W2530" s="13"/>
      <c r="X2530" s="13"/>
      <c r="Y2530" s="13"/>
      <c r="Z2530" s="13"/>
      <c r="AA2530" s="13"/>
      <c r="AB2530" s="13"/>
      <c r="AC2530" s="13"/>
      <c r="AD2530" s="13"/>
      <c r="AE2530" s="13"/>
      <c r="AF2530" s="13"/>
      <c r="AG2530" s="13"/>
    </row>
    <row r="2531" spans="1:33" s="14" customFormat="1" ht="15" customHeight="1">
      <c r="A2531" s="10">
        <v>42880</v>
      </c>
      <c r="B2531" s="3" t="s">
        <v>16</v>
      </c>
      <c r="C2531" s="15" t="s">
        <v>47</v>
      </c>
      <c r="D2531" s="15">
        <v>340</v>
      </c>
      <c r="E2531" s="11">
        <v>2500</v>
      </c>
      <c r="F2531" s="3" t="s">
        <v>8</v>
      </c>
      <c r="G2531" s="46">
        <v>7</v>
      </c>
      <c r="H2531" s="3">
        <v>7.6</v>
      </c>
      <c r="I2531" s="46">
        <v>0</v>
      </c>
      <c r="J2531" s="55">
        <v>0</v>
      </c>
      <c r="K2531" s="1">
        <f t="shared" ref="K2531" si="3545">(IF(F2531="SELL",G2531-H2531,IF(F2531="BUY",H2531-G2531)))*E2531</f>
        <v>1499.9999999999991</v>
      </c>
      <c r="L2531" s="51">
        <v>0</v>
      </c>
      <c r="M2531" s="52">
        <f t="shared" si="3531"/>
        <v>0</v>
      </c>
      <c r="N2531" s="2">
        <f t="shared" si="3517"/>
        <v>0.59999999999999964</v>
      </c>
      <c r="O2531" s="2">
        <f t="shared" si="3542"/>
        <v>1499.9999999999991</v>
      </c>
      <c r="P2531" s="13"/>
      <c r="Q2531" s="13"/>
      <c r="R2531" s="13"/>
      <c r="S2531" s="13"/>
      <c r="T2531" s="13"/>
      <c r="U2531" s="13"/>
      <c r="V2531" s="13"/>
      <c r="W2531" s="13"/>
      <c r="X2531" s="13"/>
      <c r="Y2531" s="13"/>
      <c r="Z2531" s="13"/>
      <c r="AA2531" s="13"/>
      <c r="AB2531" s="13"/>
      <c r="AC2531" s="13"/>
      <c r="AD2531" s="13"/>
      <c r="AE2531" s="13"/>
      <c r="AF2531" s="13"/>
      <c r="AG2531" s="13"/>
    </row>
    <row r="2532" spans="1:33" s="14" customFormat="1" ht="15" customHeight="1">
      <c r="A2532" s="10">
        <v>42879</v>
      </c>
      <c r="B2532" s="3" t="s">
        <v>83</v>
      </c>
      <c r="C2532" s="15" t="s">
        <v>46</v>
      </c>
      <c r="D2532" s="15">
        <v>22500</v>
      </c>
      <c r="E2532" s="11">
        <v>40</v>
      </c>
      <c r="F2532" s="3" t="s">
        <v>8</v>
      </c>
      <c r="G2532" s="46">
        <v>70</v>
      </c>
      <c r="H2532" s="3">
        <v>45</v>
      </c>
      <c r="I2532" s="46">
        <v>0</v>
      </c>
      <c r="J2532" s="55">
        <v>0</v>
      </c>
      <c r="K2532" s="1">
        <f t="shared" ref="K2532" si="3546">(IF(F2532="SELL",G2532-H2532,IF(F2532="BUY",H2532-G2532)))*E2532</f>
        <v>-1000</v>
      </c>
      <c r="L2532" s="51">
        <v>0</v>
      </c>
      <c r="M2532" s="52">
        <f t="shared" si="3531"/>
        <v>0</v>
      </c>
      <c r="N2532" s="2">
        <f t="shared" si="3517"/>
        <v>-25</v>
      </c>
      <c r="O2532" s="2">
        <f t="shared" si="3542"/>
        <v>-1000</v>
      </c>
      <c r="P2532" s="13"/>
      <c r="Q2532" s="13"/>
      <c r="R2532" s="13"/>
      <c r="S2532" s="13"/>
      <c r="T2532" s="13"/>
      <c r="U2532" s="13"/>
      <c r="V2532" s="13"/>
      <c r="W2532" s="13"/>
      <c r="X2532" s="13"/>
      <c r="Y2532" s="13"/>
      <c r="Z2532" s="13"/>
      <c r="AA2532" s="13"/>
      <c r="AB2532" s="13"/>
      <c r="AC2532" s="13"/>
      <c r="AD2532" s="13"/>
      <c r="AE2532" s="13"/>
      <c r="AF2532" s="13"/>
      <c r="AG2532" s="13"/>
    </row>
    <row r="2533" spans="1:33" s="14" customFormat="1" ht="15" customHeight="1">
      <c r="A2533" s="10">
        <v>42879</v>
      </c>
      <c r="B2533" s="3" t="s">
        <v>58</v>
      </c>
      <c r="C2533" s="15" t="s">
        <v>47</v>
      </c>
      <c r="D2533" s="15">
        <v>450</v>
      </c>
      <c r="E2533" s="11">
        <v>2000</v>
      </c>
      <c r="F2533" s="3" t="s">
        <v>8</v>
      </c>
      <c r="G2533" s="46">
        <v>5</v>
      </c>
      <c r="H2533" s="3">
        <v>6</v>
      </c>
      <c r="I2533" s="46">
        <v>0</v>
      </c>
      <c r="J2533" s="55">
        <v>0</v>
      </c>
      <c r="K2533" s="1">
        <f t="shared" ref="K2533" si="3547">(IF(F2533="SELL",G2533-H2533,IF(F2533="BUY",H2533-G2533)))*E2533</f>
        <v>2000</v>
      </c>
      <c r="L2533" s="51">
        <v>0</v>
      </c>
      <c r="M2533" s="52">
        <f t="shared" si="3531"/>
        <v>0</v>
      </c>
      <c r="N2533" s="2">
        <f t="shared" si="3517"/>
        <v>1</v>
      </c>
      <c r="O2533" s="2">
        <f t="shared" si="3542"/>
        <v>2000</v>
      </c>
      <c r="P2533" s="13"/>
      <c r="Q2533" s="13"/>
      <c r="R2533" s="13"/>
      <c r="S2533" s="13"/>
      <c r="T2533" s="13"/>
      <c r="U2533" s="13"/>
      <c r="V2533" s="13"/>
      <c r="W2533" s="13"/>
      <c r="X2533" s="13"/>
      <c r="Y2533" s="13"/>
      <c r="Z2533" s="13"/>
      <c r="AA2533" s="13"/>
      <c r="AB2533" s="13"/>
      <c r="AC2533" s="13"/>
      <c r="AD2533" s="13"/>
      <c r="AE2533" s="13"/>
      <c r="AF2533" s="13"/>
      <c r="AG2533" s="13"/>
    </row>
    <row r="2534" spans="1:33" s="14" customFormat="1" ht="15" customHeight="1">
      <c r="A2534" s="10">
        <v>42879</v>
      </c>
      <c r="B2534" s="3" t="s">
        <v>107</v>
      </c>
      <c r="C2534" s="15" t="s">
        <v>47</v>
      </c>
      <c r="D2534" s="15">
        <v>620</v>
      </c>
      <c r="E2534" s="11">
        <v>700</v>
      </c>
      <c r="F2534" s="3" t="s">
        <v>8</v>
      </c>
      <c r="G2534" s="46">
        <v>3.8</v>
      </c>
      <c r="H2534" s="3">
        <v>4</v>
      </c>
      <c r="I2534" s="46">
        <v>4.5</v>
      </c>
      <c r="J2534" s="55">
        <v>6.1</v>
      </c>
      <c r="K2534" s="1">
        <f t="shared" ref="K2534" si="3548">(IF(F2534="SELL",G2534-H2534,IF(F2534="BUY",H2534-G2534)))*E2534</f>
        <v>140.00000000000011</v>
      </c>
      <c r="L2534" s="51">
        <f t="shared" ref="L2534:L2535" si="3549">(IF(F2534="SELL",IF(I2534="",0,H2534-I2534),IF(F2534="BUY",IF(I2534="",0,I2534-H2534))))*E2534</f>
        <v>350</v>
      </c>
      <c r="M2534" s="52">
        <f t="shared" si="3531"/>
        <v>1119.9999999999998</v>
      </c>
      <c r="N2534" s="2">
        <f t="shared" si="3517"/>
        <v>2.2999999999999998</v>
      </c>
      <c r="O2534" s="2">
        <f t="shared" si="3542"/>
        <v>1609.9999999999998</v>
      </c>
      <c r="P2534" s="13"/>
      <c r="Q2534" s="13"/>
      <c r="R2534" s="13"/>
      <c r="S2534" s="13"/>
      <c r="T2534" s="13"/>
      <c r="U2534" s="13"/>
      <c r="V2534" s="13"/>
      <c r="W2534" s="13"/>
      <c r="X2534" s="13"/>
      <c r="Y2534" s="13"/>
      <c r="Z2534" s="13"/>
      <c r="AA2534" s="13"/>
      <c r="AB2534" s="13"/>
      <c r="AC2534" s="13"/>
      <c r="AD2534" s="13"/>
      <c r="AE2534" s="13"/>
      <c r="AF2534" s="13"/>
      <c r="AG2534" s="13"/>
    </row>
    <row r="2535" spans="1:33" s="14" customFormat="1" ht="15" customHeight="1">
      <c r="A2535" s="10">
        <v>42878</v>
      </c>
      <c r="B2535" s="3" t="s">
        <v>55</v>
      </c>
      <c r="C2535" s="15" t="s">
        <v>47</v>
      </c>
      <c r="D2535" s="15">
        <v>180</v>
      </c>
      <c r="E2535" s="11">
        <v>3500</v>
      </c>
      <c r="F2535" s="3" t="s">
        <v>8</v>
      </c>
      <c r="G2535" s="46">
        <v>3.25</v>
      </c>
      <c r="H2535" s="3">
        <v>3.65</v>
      </c>
      <c r="I2535" s="46">
        <v>4.45</v>
      </c>
      <c r="J2535" s="55">
        <v>5.65</v>
      </c>
      <c r="K2535" s="1">
        <f t="shared" ref="K2535" si="3550">(IF(F2535="SELL",G2535-H2535,IF(F2535="BUY",H2535-G2535)))*E2535</f>
        <v>1399.9999999999998</v>
      </c>
      <c r="L2535" s="51">
        <f t="shared" si="3549"/>
        <v>2800.0000000000009</v>
      </c>
      <c r="M2535" s="52">
        <f t="shared" si="3531"/>
        <v>4200.0000000000009</v>
      </c>
      <c r="N2535" s="2">
        <f t="shared" si="3517"/>
        <v>2.4000000000000004</v>
      </c>
      <c r="O2535" s="2">
        <f t="shared" si="3542"/>
        <v>8400.0000000000018</v>
      </c>
      <c r="P2535" s="13"/>
      <c r="Q2535" s="13"/>
      <c r="R2535" s="13"/>
      <c r="S2535" s="13"/>
      <c r="T2535" s="13"/>
      <c r="U2535" s="13"/>
      <c r="V2535" s="13"/>
      <c r="W2535" s="13"/>
      <c r="X2535" s="13"/>
      <c r="Y2535" s="13"/>
      <c r="Z2535" s="13"/>
      <c r="AA2535" s="13"/>
      <c r="AB2535" s="13"/>
      <c r="AC2535" s="13"/>
      <c r="AD2535" s="13"/>
      <c r="AE2535" s="13"/>
      <c r="AF2535" s="13"/>
      <c r="AG2535" s="13"/>
    </row>
    <row r="2536" spans="1:33" s="14" customFormat="1" ht="15" customHeight="1">
      <c r="A2536" s="10">
        <v>42878</v>
      </c>
      <c r="B2536" s="3" t="s">
        <v>21</v>
      </c>
      <c r="C2536" s="15" t="s">
        <v>47</v>
      </c>
      <c r="D2536" s="15">
        <v>290</v>
      </c>
      <c r="E2536" s="11">
        <v>3000</v>
      </c>
      <c r="F2536" s="3" t="s">
        <v>8</v>
      </c>
      <c r="G2536" s="46">
        <v>4</v>
      </c>
      <c r="H2536" s="3">
        <v>4.5</v>
      </c>
      <c r="I2536" s="46">
        <v>0</v>
      </c>
      <c r="J2536" s="55">
        <v>0</v>
      </c>
      <c r="K2536" s="1">
        <f t="shared" ref="K2536" si="3551">(IF(F2536="SELL",G2536-H2536,IF(F2536="BUY",H2536-G2536)))*E2536</f>
        <v>1500</v>
      </c>
      <c r="L2536" s="51">
        <v>0</v>
      </c>
      <c r="M2536" s="52">
        <f t="shared" si="3531"/>
        <v>0</v>
      </c>
      <c r="N2536" s="2">
        <f t="shared" si="3517"/>
        <v>0.5</v>
      </c>
      <c r="O2536" s="2">
        <f t="shared" si="3542"/>
        <v>1500</v>
      </c>
      <c r="P2536" s="13"/>
      <c r="Q2536" s="13"/>
      <c r="R2536" s="13"/>
      <c r="S2536" s="13"/>
      <c r="T2536" s="13"/>
      <c r="U2536" s="13"/>
      <c r="V2536" s="13"/>
      <c r="W2536" s="13"/>
      <c r="X2536" s="13"/>
      <c r="Y2536" s="13"/>
      <c r="Z2536" s="13"/>
      <c r="AA2536" s="13"/>
      <c r="AB2536" s="13"/>
      <c r="AC2536" s="13"/>
      <c r="AD2536" s="13"/>
      <c r="AE2536" s="13"/>
      <c r="AF2536" s="13"/>
      <c r="AG2536" s="13"/>
    </row>
    <row r="2537" spans="1:33" s="14" customFormat="1" ht="15" customHeight="1">
      <c r="A2537" s="10">
        <v>42878</v>
      </c>
      <c r="B2537" s="3" t="s">
        <v>83</v>
      </c>
      <c r="C2537" s="15" t="s">
        <v>46</v>
      </c>
      <c r="D2537" s="15">
        <v>22600</v>
      </c>
      <c r="E2537" s="11">
        <v>40</v>
      </c>
      <c r="F2537" s="3" t="s">
        <v>8</v>
      </c>
      <c r="G2537" s="46">
        <v>75</v>
      </c>
      <c r="H2537" s="3">
        <v>90</v>
      </c>
      <c r="I2537" s="46">
        <v>105</v>
      </c>
      <c r="J2537" s="55">
        <v>150</v>
      </c>
      <c r="K2537" s="1">
        <f t="shared" ref="K2537" si="3552">(IF(F2537="SELL",G2537-H2537,IF(F2537="BUY",H2537-G2537)))*E2537</f>
        <v>600</v>
      </c>
      <c r="L2537" s="51">
        <v>0</v>
      </c>
      <c r="M2537" s="52">
        <f t="shared" si="3531"/>
        <v>1800</v>
      </c>
      <c r="N2537" s="2">
        <f t="shared" si="3517"/>
        <v>60</v>
      </c>
      <c r="O2537" s="2">
        <f t="shared" si="3542"/>
        <v>2400</v>
      </c>
      <c r="P2537" s="13"/>
      <c r="Q2537" s="13"/>
      <c r="R2537" s="13"/>
      <c r="S2537" s="13"/>
      <c r="T2537" s="13"/>
      <c r="U2537" s="13"/>
      <c r="V2537" s="13"/>
      <c r="W2537" s="13"/>
      <c r="X2537" s="13"/>
      <c r="Y2537" s="13"/>
      <c r="Z2537" s="13"/>
      <c r="AA2537" s="13"/>
      <c r="AB2537" s="13"/>
      <c r="AC2537" s="13"/>
      <c r="AD2537" s="13"/>
      <c r="AE2537" s="13"/>
      <c r="AF2537" s="13"/>
      <c r="AG2537" s="13"/>
    </row>
    <row r="2538" spans="1:33" s="14" customFormat="1" ht="15" customHeight="1">
      <c r="A2538" s="10">
        <v>42878</v>
      </c>
      <c r="B2538" s="3" t="s">
        <v>102</v>
      </c>
      <c r="C2538" s="15" t="s">
        <v>47</v>
      </c>
      <c r="D2538" s="15">
        <v>375</v>
      </c>
      <c r="E2538" s="11">
        <v>500</v>
      </c>
      <c r="F2538" s="3" t="s">
        <v>8</v>
      </c>
      <c r="G2538" s="46">
        <v>3</v>
      </c>
      <c r="H2538" s="3">
        <v>3.5</v>
      </c>
      <c r="I2538" s="46">
        <v>0</v>
      </c>
      <c r="J2538" s="55">
        <v>0</v>
      </c>
      <c r="K2538" s="1">
        <f t="shared" ref="K2538" si="3553">(IF(F2538="SELL",G2538-H2538,IF(F2538="BUY",H2538-G2538)))*E2538</f>
        <v>250</v>
      </c>
      <c r="L2538" s="51">
        <v>0</v>
      </c>
      <c r="M2538" s="52">
        <f t="shared" si="3531"/>
        <v>0</v>
      </c>
      <c r="N2538" s="2">
        <f t="shared" si="3517"/>
        <v>0.5</v>
      </c>
      <c r="O2538" s="2">
        <f t="shared" si="3542"/>
        <v>250</v>
      </c>
      <c r="P2538" s="13"/>
      <c r="Q2538" s="13"/>
      <c r="R2538" s="13"/>
      <c r="S2538" s="13"/>
      <c r="T2538" s="13"/>
      <c r="U2538" s="13"/>
      <c r="V2538" s="13"/>
      <c r="W2538" s="13"/>
      <c r="X2538" s="13"/>
      <c r="Y2538" s="13"/>
      <c r="Z2538" s="13"/>
      <c r="AA2538" s="13"/>
      <c r="AB2538" s="13"/>
      <c r="AC2538" s="13"/>
      <c r="AD2538" s="13"/>
      <c r="AE2538" s="13"/>
      <c r="AF2538" s="13"/>
      <c r="AG2538" s="13"/>
    </row>
    <row r="2539" spans="1:33" s="14" customFormat="1" ht="15" customHeight="1">
      <c r="A2539" s="10">
        <v>42877</v>
      </c>
      <c r="B2539" s="3" t="s">
        <v>69</v>
      </c>
      <c r="C2539" s="15" t="s">
        <v>47</v>
      </c>
      <c r="D2539" s="15">
        <v>440</v>
      </c>
      <c r="E2539" s="11">
        <v>2500</v>
      </c>
      <c r="F2539" s="3" t="s">
        <v>8</v>
      </c>
      <c r="G2539" s="46">
        <v>7</v>
      </c>
      <c r="H2539" s="3">
        <v>7</v>
      </c>
      <c r="I2539" s="46">
        <v>0</v>
      </c>
      <c r="J2539" s="55">
        <v>0</v>
      </c>
      <c r="K2539" s="1">
        <f t="shared" ref="K2539" si="3554">(IF(F2539="SELL",G2539-H2539,IF(F2539="BUY",H2539-G2539)))*E2539</f>
        <v>0</v>
      </c>
      <c r="L2539" s="51">
        <v>0</v>
      </c>
      <c r="M2539" s="52">
        <f t="shared" si="3531"/>
        <v>0</v>
      </c>
      <c r="N2539" s="2">
        <f t="shared" si="3517"/>
        <v>0</v>
      </c>
      <c r="O2539" s="2">
        <f t="shared" si="3542"/>
        <v>0</v>
      </c>
      <c r="P2539" s="13"/>
      <c r="Q2539" s="13"/>
      <c r="R2539" s="13"/>
      <c r="S2539" s="13"/>
      <c r="T2539" s="13"/>
      <c r="U2539" s="13"/>
      <c r="V2539" s="13"/>
      <c r="W2539" s="13"/>
      <c r="X2539" s="13"/>
      <c r="Y2539" s="13"/>
      <c r="Z2539" s="13"/>
      <c r="AA2539" s="13"/>
      <c r="AB2539" s="13"/>
      <c r="AC2539" s="13"/>
      <c r="AD2539" s="13"/>
      <c r="AE2539" s="13"/>
      <c r="AF2539" s="13"/>
      <c r="AG2539" s="13"/>
    </row>
    <row r="2540" spans="1:33" s="14" customFormat="1" ht="15" customHeight="1">
      <c r="A2540" s="10">
        <v>42877</v>
      </c>
      <c r="B2540" s="3" t="s">
        <v>117</v>
      </c>
      <c r="C2540" s="15" t="s">
        <v>47</v>
      </c>
      <c r="D2540" s="15">
        <v>260</v>
      </c>
      <c r="E2540" s="11">
        <v>2500</v>
      </c>
      <c r="F2540" s="3" t="s">
        <v>8</v>
      </c>
      <c r="G2540" s="46">
        <v>2.5</v>
      </c>
      <c r="H2540" s="3">
        <v>2.5</v>
      </c>
      <c r="I2540" s="46">
        <v>0</v>
      </c>
      <c r="J2540" s="55">
        <v>0</v>
      </c>
      <c r="K2540" s="1">
        <f>(IF(F2540="SELL",G2540-H2540,IF(F2540="BUY",H2540-G2540)))*E2540</f>
        <v>0</v>
      </c>
      <c r="L2540" s="51">
        <v>0</v>
      </c>
      <c r="M2540" s="52">
        <f t="shared" si="3531"/>
        <v>0</v>
      </c>
      <c r="N2540" s="2">
        <f t="shared" si="3517"/>
        <v>0</v>
      </c>
      <c r="O2540" s="2">
        <f t="shared" si="3542"/>
        <v>0</v>
      </c>
      <c r="P2540" s="13"/>
      <c r="Q2540" s="13"/>
      <c r="R2540" s="13"/>
      <c r="S2540" s="13"/>
      <c r="T2540" s="13"/>
      <c r="U2540" s="13"/>
      <c r="V2540" s="13"/>
      <c r="W2540" s="13"/>
      <c r="X2540" s="13"/>
      <c r="Y2540" s="13"/>
      <c r="Z2540" s="13"/>
      <c r="AA2540" s="13"/>
      <c r="AB2540" s="13"/>
      <c r="AC2540" s="13"/>
      <c r="AD2540" s="13"/>
      <c r="AE2540" s="13"/>
      <c r="AF2540" s="13"/>
      <c r="AG2540" s="13"/>
    </row>
    <row r="2541" spans="1:33" s="14" customFormat="1" ht="15" customHeight="1">
      <c r="A2541" s="10">
        <v>42874</v>
      </c>
      <c r="B2541" s="3" t="s">
        <v>113</v>
      </c>
      <c r="C2541" s="15" t="s">
        <v>47</v>
      </c>
      <c r="D2541" s="15">
        <v>500</v>
      </c>
      <c r="E2541" s="11">
        <v>2000</v>
      </c>
      <c r="F2541" s="3" t="s">
        <v>8</v>
      </c>
      <c r="G2541" s="46">
        <v>6.5</v>
      </c>
      <c r="H2541" s="3">
        <v>6.5</v>
      </c>
      <c r="I2541" s="46">
        <v>0</v>
      </c>
      <c r="J2541" s="55">
        <v>0</v>
      </c>
      <c r="K2541" s="1">
        <f t="shared" ref="K2541" si="3555">(IF(F2541="SELL",G2541-H2541,IF(F2541="BUY",H2541-G2541)))*E2541</f>
        <v>0</v>
      </c>
      <c r="L2541" s="51">
        <v>0</v>
      </c>
      <c r="M2541" s="52">
        <f t="shared" si="3531"/>
        <v>0</v>
      </c>
      <c r="N2541" s="2">
        <f t="shared" si="3517"/>
        <v>0</v>
      </c>
      <c r="O2541" s="2">
        <f t="shared" si="3542"/>
        <v>0</v>
      </c>
      <c r="P2541" s="13"/>
      <c r="Q2541" s="13"/>
      <c r="R2541" s="13"/>
      <c r="S2541" s="13"/>
      <c r="T2541" s="13"/>
      <c r="U2541" s="13"/>
      <c r="V2541" s="13"/>
      <c r="W2541" s="13"/>
      <c r="X2541" s="13"/>
      <c r="Y2541" s="13"/>
      <c r="Z2541" s="13"/>
      <c r="AA2541" s="13"/>
      <c r="AB2541" s="13"/>
      <c r="AC2541" s="13"/>
      <c r="AD2541" s="13"/>
      <c r="AE2541" s="13"/>
      <c r="AF2541" s="13"/>
      <c r="AG2541" s="13"/>
    </row>
    <row r="2542" spans="1:33" s="14" customFormat="1" ht="15" customHeight="1">
      <c r="A2542" s="10">
        <v>42874</v>
      </c>
      <c r="B2542" s="3" t="s">
        <v>33</v>
      </c>
      <c r="C2542" s="15" t="s">
        <v>47</v>
      </c>
      <c r="D2542" s="15">
        <v>670</v>
      </c>
      <c r="E2542" s="11">
        <v>1500</v>
      </c>
      <c r="F2542" s="3" t="s">
        <v>8</v>
      </c>
      <c r="G2542" s="46">
        <v>12</v>
      </c>
      <c r="H2542" s="3">
        <v>12</v>
      </c>
      <c r="I2542" s="46">
        <v>0</v>
      </c>
      <c r="J2542" s="55">
        <v>0</v>
      </c>
      <c r="K2542" s="1">
        <f t="shared" ref="K2542" si="3556">(IF(F2542="SELL",G2542-H2542,IF(F2542="BUY",H2542-G2542)))*E2542</f>
        <v>0</v>
      </c>
      <c r="L2542" s="51">
        <v>0</v>
      </c>
      <c r="M2542" s="52">
        <f t="shared" si="3531"/>
        <v>0</v>
      </c>
      <c r="N2542" s="2">
        <f t="shared" si="3517"/>
        <v>0</v>
      </c>
      <c r="O2542" s="2">
        <f t="shared" si="3542"/>
        <v>0</v>
      </c>
      <c r="P2542" s="13"/>
      <c r="Q2542" s="13"/>
      <c r="R2542" s="13"/>
      <c r="S2542" s="13"/>
      <c r="T2542" s="13"/>
      <c r="U2542" s="13"/>
      <c r="V2542" s="13"/>
      <c r="W2542" s="13"/>
      <c r="X2542" s="13"/>
      <c r="Y2542" s="13"/>
      <c r="Z2542" s="13"/>
      <c r="AA2542" s="13"/>
      <c r="AB2542" s="13"/>
      <c r="AC2542" s="13"/>
      <c r="AD2542" s="13"/>
      <c r="AE2542" s="13"/>
      <c r="AF2542" s="13"/>
      <c r="AG2542" s="13"/>
    </row>
    <row r="2543" spans="1:33" s="14" customFormat="1" ht="15" customHeight="1">
      <c r="A2543" s="10">
        <v>42874</v>
      </c>
      <c r="B2543" s="3" t="s">
        <v>83</v>
      </c>
      <c r="C2543" s="15" t="s">
        <v>46</v>
      </c>
      <c r="D2543" s="15">
        <v>22700</v>
      </c>
      <c r="E2543" s="11">
        <v>40</v>
      </c>
      <c r="F2543" s="3" t="s">
        <v>8</v>
      </c>
      <c r="G2543" s="46">
        <v>92</v>
      </c>
      <c r="H2543" s="3">
        <v>70</v>
      </c>
      <c r="I2543" s="46">
        <v>0</v>
      </c>
      <c r="J2543" s="55">
        <v>0</v>
      </c>
      <c r="K2543" s="1">
        <f t="shared" ref="K2543" si="3557">(IF(F2543="SELL",G2543-H2543,IF(F2543="BUY",H2543-G2543)))*E2543</f>
        <v>-880</v>
      </c>
      <c r="L2543" s="51">
        <v>0</v>
      </c>
      <c r="M2543" s="52">
        <f t="shared" si="3531"/>
        <v>0</v>
      </c>
      <c r="N2543" s="2">
        <f t="shared" si="3517"/>
        <v>-22</v>
      </c>
      <c r="O2543" s="2">
        <f t="shared" si="3542"/>
        <v>-880</v>
      </c>
      <c r="P2543" s="13"/>
      <c r="Q2543" s="13"/>
      <c r="R2543" s="13"/>
      <c r="S2543" s="13"/>
      <c r="T2543" s="13"/>
      <c r="U2543" s="13"/>
      <c r="V2543" s="13"/>
      <c r="W2543" s="13"/>
      <c r="X2543" s="13"/>
      <c r="Y2543" s="13"/>
      <c r="Z2543" s="13"/>
      <c r="AA2543" s="13"/>
      <c r="AB2543" s="13"/>
      <c r="AC2543" s="13"/>
      <c r="AD2543" s="13"/>
      <c r="AE2543" s="13"/>
      <c r="AF2543" s="13"/>
      <c r="AG2543" s="13"/>
    </row>
    <row r="2544" spans="1:33" s="14" customFormat="1" ht="15" customHeight="1">
      <c r="A2544" s="10">
        <v>42874</v>
      </c>
      <c r="B2544" s="3" t="s">
        <v>16</v>
      </c>
      <c r="C2544" s="15" t="s">
        <v>47</v>
      </c>
      <c r="D2544" s="15">
        <v>350</v>
      </c>
      <c r="E2544" s="11">
        <v>2500</v>
      </c>
      <c r="F2544" s="3" t="s">
        <v>8</v>
      </c>
      <c r="G2544" s="46">
        <v>7</v>
      </c>
      <c r="H2544" s="3">
        <v>7.6</v>
      </c>
      <c r="I2544" s="46">
        <v>9.1999999999999993</v>
      </c>
      <c r="J2544" s="55">
        <v>11.6</v>
      </c>
      <c r="K2544" s="1">
        <f t="shared" ref="K2544" si="3558">(IF(F2544="SELL",G2544-H2544,IF(F2544="BUY",H2544-G2544)))*E2544</f>
        <v>1499.9999999999991</v>
      </c>
      <c r="L2544" s="51">
        <f t="shared" ref="L2544" si="3559">(IF(F2544="SELL",IF(I2544="",0,H2544-I2544),IF(F2544="BUY",IF(I2544="",0,I2544-H2544))))*E2544</f>
        <v>3999.9999999999991</v>
      </c>
      <c r="M2544" s="52">
        <f t="shared" si="3531"/>
        <v>6000.0000000000009</v>
      </c>
      <c r="N2544" s="2">
        <f t="shared" si="3517"/>
        <v>4.5999999999999996</v>
      </c>
      <c r="O2544" s="2">
        <f t="shared" si="3542"/>
        <v>11500</v>
      </c>
      <c r="P2544" s="13"/>
      <c r="Q2544" s="13"/>
      <c r="R2544" s="13"/>
      <c r="S2544" s="13"/>
      <c r="T2544" s="13"/>
      <c r="U2544" s="13"/>
      <c r="V2544" s="13"/>
      <c r="W2544" s="13"/>
      <c r="X2544" s="13"/>
      <c r="Y2544" s="13"/>
      <c r="Z2544" s="13"/>
      <c r="AA2544" s="13"/>
      <c r="AB2544" s="13"/>
      <c r="AC2544" s="13"/>
      <c r="AD2544" s="13"/>
      <c r="AE2544" s="13"/>
      <c r="AF2544" s="13"/>
      <c r="AG2544" s="13"/>
    </row>
    <row r="2545" spans="1:33" s="14" customFormat="1" ht="15" customHeight="1">
      <c r="A2545" s="10">
        <v>42873</v>
      </c>
      <c r="B2545" s="3" t="s">
        <v>116</v>
      </c>
      <c r="C2545" s="15" t="s">
        <v>47</v>
      </c>
      <c r="D2545" s="15">
        <v>125</v>
      </c>
      <c r="E2545" s="11">
        <v>8000</v>
      </c>
      <c r="F2545" s="3" t="s">
        <v>8</v>
      </c>
      <c r="G2545" s="46">
        <v>4.5</v>
      </c>
      <c r="H2545" s="3">
        <v>4.95</v>
      </c>
      <c r="I2545" s="46">
        <v>5.8</v>
      </c>
      <c r="J2545" s="55">
        <v>0</v>
      </c>
      <c r="K2545" s="1">
        <f t="shared" ref="K2545" si="3560">(IF(F2545="SELL",G2545-H2545,IF(F2545="BUY",H2545-G2545)))*E2545</f>
        <v>3600.0000000000014</v>
      </c>
      <c r="L2545" s="51">
        <f t="shared" ref="L2545" si="3561">(IF(F2545="SELL",IF(I2545="",0,H2545-I2545),IF(F2545="BUY",IF(I2545="",0,I2545-H2545))))*E2545</f>
        <v>6799.9999999999973</v>
      </c>
      <c r="M2545" s="52">
        <v>0</v>
      </c>
      <c r="N2545" s="2">
        <f t="shared" si="3517"/>
        <v>1.2999999999999998</v>
      </c>
      <c r="O2545" s="2">
        <f t="shared" si="3542"/>
        <v>10399.999999999998</v>
      </c>
      <c r="P2545" s="13"/>
      <c r="Q2545" s="13"/>
      <c r="R2545" s="13"/>
      <c r="S2545" s="13"/>
      <c r="T2545" s="13"/>
      <c r="U2545" s="13"/>
      <c r="V2545" s="13"/>
      <c r="W2545" s="13"/>
      <c r="X2545" s="13"/>
      <c r="Y2545" s="13"/>
      <c r="Z2545" s="13"/>
      <c r="AA2545" s="13"/>
      <c r="AB2545" s="13"/>
      <c r="AC2545" s="13"/>
      <c r="AD2545" s="13"/>
      <c r="AE2545" s="13"/>
      <c r="AF2545" s="13"/>
      <c r="AG2545" s="13"/>
    </row>
    <row r="2546" spans="1:33" s="14" customFormat="1" ht="15" customHeight="1">
      <c r="A2546" s="10">
        <v>42873</v>
      </c>
      <c r="B2546" s="3" t="s">
        <v>78</v>
      </c>
      <c r="C2546" s="15" t="s">
        <v>47</v>
      </c>
      <c r="D2546" s="15">
        <v>160</v>
      </c>
      <c r="E2546" s="11">
        <v>600</v>
      </c>
      <c r="F2546" s="3" t="s">
        <v>8</v>
      </c>
      <c r="G2546" s="46">
        <v>3.3</v>
      </c>
      <c r="H2546" s="3">
        <v>3.3</v>
      </c>
      <c r="I2546" s="46">
        <v>0</v>
      </c>
      <c r="J2546" s="55">
        <v>0</v>
      </c>
      <c r="K2546" s="1">
        <v>0</v>
      </c>
      <c r="L2546" s="51">
        <v>0</v>
      </c>
      <c r="M2546" s="52">
        <v>0</v>
      </c>
      <c r="N2546" s="2">
        <f t="shared" si="3517"/>
        <v>0</v>
      </c>
      <c r="O2546" s="2">
        <f t="shared" si="3542"/>
        <v>0</v>
      </c>
      <c r="P2546" s="13"/>
      <c r="Q2546" s="13"/>
      <c r="R2546" s="13"/>
      <c r="S2546" s="13"/>
      <c r="T2546" s="13"/>
      <c r="U2546" s="13"/>
      <c r="V2546" s="13"/>
      <c r="W2546" s="13"/>
      <c r="X2546" s="13"/>
      <c r="Y2546" s="13"/>
      <c r="Z2546" s="13"/>
      <c r="AA2546" s="13"/>
      <c r="AB2546" s="13"/>
      <c r="AC2546" s="13"/>
      <c r="AD2546" s="13"/>
      <c r="AE2546" s="13"/>
      <c r="AF2546" s="13"/>
      <c r="AG2546" s="13"/>
    </row>
    <row r="2547" spans="1:33" s="14" customFormat="1" ht="15" customHeight="1">
      <c r="A2547" s="10">
        <v>42873</v>
      </c>
      <c r="B2547" s="3" t="s">
        <v>12</v>
      </c>
      <c r="C2547" s="15" t="s">
        <v>47</v>
      </c>
      <c r="D2547" s="15">
        <v>620</v>
      </c>
      <c r="E2547" s="11">
        <v>600</v>
      </c>
      <c r="F2547" s="3" t="s">
        <v>8</v>
      </c>
      <c r="G2547" s="46">
        <v>16</v>
      </c>
      <c r="H2547" s="3">
        <v>16</v>
      </c>
      <c r="I2547" s="46">
        <v>0</v>
      </c>
      <c r="J2547" s="55">
        <v>0</v>
      </c>
      <c r="K2547" s="1">
        <v>0</v>
      </c>
      <c r="L2547" s="51">
        <v>0</v>
      </c>
      <c r="M2547" s="52">
        <v>0</v>
      </c>
      <c r="N2547" s="2">
        <f t="shared" si="3517"/>
        <v>0</v>
      </c>
      <c r="O2547" s="2">
        <f t="shared" si="3542"/>
        <v>0</v>
      </c>
      <c r="P2547" s="13"/>
      <c r="Q2547" s="13"/>
      <c r="R2547" s="13"/>
      <c r="S2547" s="13"/>
      <c r="T2547" s="13"/>
      <c r="U2547" s="13"/>
      <c r="V2547" s="13"/>
      <c r="W2547" s="13"/>
      <c r="X2547" s="13"/>
      <c r="Y2547" s="13"/>
      <c r="Z2547" s="13"/>
      <c r="AA2547" s="13"/>
      <c r="AB2547" s="13"/>
      <c r="AC2547" s="13"/>
      <c r="AD2547" s="13"/>
      <c r="AE2547" s="13"/>
      <c r="AF2547" s="13"/>
      <c r="AG2547" s="13"/>
    </row>
    <row r="2548" spans="1:33" s="14" customFormat="1" ht="15" customHeight="1">
      <c r="A2548" s="10">
        <v>42873</v>
      </c>
      <c r="B2548" s="3" t="s">
        <v>115</v>
      </c>
      <c r="C2548" s="15" t="s">
        <v>46</v>
      </c>
      <c r="D2548" s="15">
        <v>980</v>
      </c>
      <c r="E2548" s="11">
        <v>600</v>
      </c>
      <c r="F2548" s="3" t="s">
        <v>8</v>
      </c>
      <c r="G2548" s="46">
        <v>8.5</v>
      </c>
      <c r="H2548" s="3">
        <v>8.5</v>
      </c>
      <c r="I2548" s="46">
        <v>0</v>
      </c>
      <c r="J2548" s="55">
        <v>0</v>
      </c>
      <c r="K2548" s="1">
        <v>0</v>
      </c>
      <c r="L2548" s="51">
        <v>0</v>
      </c>
      <c r="M2548" s="52">
        <v>0</v>
      </c>
      <c r="N2548" s="2">
        <f t="shared" si="3517"/>
        <v>0</v>
      </c>
      <c r="O2548" s="2">
        <f t="shared" si="3542"/>
        <v>0</v>
      </c>
      <c r="P2548" s="13"/>
      <c r="Q2548" s="13"/>
      <c r="R2548" s="13"/>
      <c r="S2548" s="13"/>
      <c r="T2548" s="13"/>
      <c r="U2548" s="13"/>
      <c r="V2548" s="13"/>
      <c r="W2548" s="13"/>
      <c r="X2548" s="13"/>
      <c r="Y2548" s="13"/>
      <c r="Z2548" s="13"/>
      <c r="AA2548" s="13"/>
      <c r="AB2548" s="13"/>
      <c r="AC2548" s="13"/>
      <c r="AD2548" s="13"/>
      <c r="AE2548" s="13"/>
      <c r="AF2548" s="13"/>
      <c r="AG2548" s="13"/>
    </row>
    <row r="2549" spans="1:33" s="14" customFormat="1" ht="15" customHeight="1">
      <c r="A2549" s="10">
        <v>42873</v>
      </c>
      <c r="B2549" s="3" t="s">
        <v>83</v>
      </c>
      <c r="C2549" s="15" t="s">
        <v>46</v>
      </c>
      <c r="D2549" s="15">
        <v>22600</v>
      </c>
      <c r="E2549" s="11">
        <v>40</v>
      </c>
      <c r="F2549" s="3" t="s">
        <v>8</v>
      </c>
      <c r="G2549" s="46">
        <v>85</v>
      </c>
      <c r="H2549" s="3">
        <v>100</v>
      </c>
      <c r="I2549" s="46">
        <v>120</v>
      </c>
      <c r="J2549" s="55">
        <v>0</v>
      </c>
      <c r="K2549" s="1">
        <f t="shared" ref="K2549" si="3562">(IF(F2549="SELL",G2549-H2549,IF(F2549="BUY",H2549-G2549)))*E2549</f>
        <v>600</v>
      </c>
      <c r="L2549" s="51">
        <f t="shared" ref="L2549" si="3563">(IF(F2549="SELL",IF(I2549="",0,H2549-I2549),IF(F2549="BUY",IF(I2549="",0,I2549-H2549))))*E2549</f>
        <v>800</v>
      </c>
      <c r="M2549" s="52">
        <v>0</v>
      </c>
      <c r="N2549" s="2">
        <f t="shared" si="3517"/>
        <v>35</v>
      </c>
      <c r="O2549" s="2">
        <f t="shared" si="3542"/>
        <v>1400</v>
      </c>
      <c r="P2549" s="13"/>
      <c r="Q2549" s="13"/>
      <c r="R2549" s="13"/>
      <c r="S2549" s="13"/>
      <c r="T2549" s="13"/>
      <c r="U2549" s="13"/>
      <c r="V2549" s="13"/>
      <c r="W2549" s="13"/>
      <c r="X2549" s="13"/>
      <c r="Y2549" s="13"/>
      <c r="Z2549" s="13"/>
      <c r="AA2549" s="13"/>
      <c r="AB2549" s="13"/>
      <c r="AC2549" s="13"/>
      <c r="AD2549" s="13"/>
      <c r="AE2549" s="13"/>
      <c r="AF2549" s="13"/>
      <c r="AG2549" s="13"/>
    </row>
    <row r="2550" spans="1:33" s="14" customFormat="1" ht="15" customHeight="1">
      <c r="A2550" s="10">
        <v>42873</v>
      </c>
      <c r="B2550" s="3" t="s">
        <v>114</v>
      </c>
      <c r="C2550" s="15" t="s">
        <v>47</v>
      </c>
      <c r="D2550" s="15">
        <v>1450</v>
      </c>
      <c r="E2550" s="11">
        <v>350</v>
      </c>
      <c r="F2550" s="3" t="s">
        <v>8</v>
      </c>
      <c r="G2550" s="46">
        <v>22</v>
      </c>
      <c r="H2550" s="3">
        <v>22</v>
      </c>
      <c r="I2550" s="46">
        <v>0</v>
      </c>
      <c r="J2550" s="55">
        <v>0</v>
      </c>
      <c r="K2550" s="1">
        <f t="shared" ref="K2550" si="3564">(IF(F2550="SELL",G2550-H2550,IF(F2550="BUY",H2550-G2550)))*E2550</f>
        <v>0</v>
      </c>
      <c r="L2550" s="51">
        <v>0</v>
      </c>
      <c r="M2550" s="52">
        <f t="shared" ref="M2550:M2555" si="3565">(IF(F2550="SELL",IF(J2550="",0,I2550-J2550),IF(F2550="BUY",IF(J2550="",0,(J2550-I2550)))))*E2550</f>
        <v>0</v>
      </c>
      <c r="N2550" s="2">
        <f t="shared" si="3517"/>
        <v>0</v>
      </c>
      <c r="O2550" s="2">
        <f t="shared" si="3542"/>
        <v>0</v>
      </c>
      <c r="P2550" s="13"/>
      <c r="Q2550" s="13"/>
      <c r="R2550" s="13"/>
      <c r="S2550" s="13"/>
      <c r="T2550" s="13"/>
      <c r="U2550" s="13"/>
      <c r="V2550" s="13"/>
      <c r="W2550" s="13"/>
      <c r="X2550" s="13"/>
      <c r="Y2550" s="13"/>
      <c r="Z2550" s="13"/>
      <c r="AA2550" s="13"/>
      <c r="AB2550" s="13"/>
      <c r="AC2550" s="13"/>
      <c r="AD2550" s="13"/>
      <c r="AE2550" s="13"/>
      <c r="AF2550" s="13"/>
      <c r="AG2550" s="13"/>
    </row>
    <row r="2551" spans="1:33" s="14" customFormat="1" ht="15" customHeight="1">
      <c r="A2551" s="10">
        <v>42872</v>
      </c>
      <c r="B2551" s="3" t="s">
        <v>70</v>
      </c>
      <c r="C2551" s="15" t="s">
        <v>47</v>
      </c>
      <c r="D2551" s="15">
        <v>220</v>
      </c>
      <c r="E2551" s="11">
        <v>6000</v>
      </c>
      <c r="F2551" s="3" t="s">
        <v>8</v>
      </c>
      <c r="G2551" s="46">
        <v>4.5</v>
      </c>
      <c r="H2551" s="3">
        <v>4.5</v>
      </c>
      <c r="I2551" s="46">
        <v>0</v>
      </c>
      <c r="J2551" s="55">
        <v>0</v>
      </c>
      <c r="K2551" s="1">
        <f t="shared" ref="K2551" si="3566">(IF(F2551="SELL",G2551-H2551,IF(F2551="BUY",H2551-G2551)))*E2551</f>
        <v>0</v>
      </c>
      <c r="L2551" s="51">
        <v>0</v>
      </c>
      <c r="M2551" s="52">
        <f t="shared" si="3565"/>
        <v>0</v>
      </c>
      <c r="N2551" s="2">
        <f t="shared" si="3517"/>
        <v>0</v>
      </c>
      <c r="O2551" s="2">
        <f t="shared" si="3542"/>
        <v>0</v>
      </c>
      <c r="P2551" s="13"/>
      <c r="Q2551" s="13"/>
      <c r="R2551" s="13"/>
      <c r="S2551" s="13"/>
      <c r="T2551" s="13"/>
      <c r="U2551" s="13"/>
      <c r="V2551" s="13"/>
      <c r="W2551" s="13"/>
      <c r="X2551" s="13"/>
      <c r="Y2551" s="13"/>
      <c r="Z2551" s="13"/>
      <c r="AA2551" s="13"/>
      <c r="AB2551" s="13"/>
      <c r="AC2551" s="13"/>
      <c r="AD2551" s="13"/>
      <c r="AE2551" s="13"/>
      <c r="AF2551" s="13"/>
      <c r="AG2551" s="13"/>
    </row>
    <row r="2552" spans="1:33" s="14" customFormat="1" ht="15" customHeight="1">
      <c r="A2552" s="10">
        <v>42872</v>
      </c>
      <c r="B2552" s="3" t="s">
        <v>25</v>
      </c>
      <c r="C2552" s="15" t="s">
        <v>47</v>
      </c>
      <c r="D2552" s="15">
        <v>175</v>
      </c>
      <c r="E2552" s="11">
        <v>5000</v>
      </c>
      <c r="F2552" s="3" t="s">
        <v>8</v>
      </c>
      <c r="G2552" s="46">
        <v>3</v>
      </c>
      <c r="H2552" s="3">
        <v>3</v>
      </c>
      <c r="I2552" s="46">
        <v>0</v>
      </c>
      <c r="J2552" s="55">
        <v>0</v>
      </c>
      <c r="K2552" s="1">
        <f t="shared" ref="K2552" si="3567">(IF(F2552="SELL",G2552-H2552,IF(F2552="BUY",H2552-G2552)))*E2552</f>
        <v>0</v>
      </c>
      <c r="L2552" s="51">
        <v>0</v>
      </c>
      <c r="M2552" s="52">
        <f t="shared" si="3565"/>
        <v>0</v>
      </c>
      <c r="N2552" s="2">
        <f t="shared" si="3517"/>
        <v>0</v>
      </c>
      <c r="O2552" s="2">
        <f t="shared" si="3542"/>
        <v>0</v>
      </c>
      <c r="P2552" s="13"/>
      <c r="Q2552" s="13"/>
      <c r="R2552" s="13"/>
      <c r="S2552" s="13"/>
      <c r="T2552" s="13"/>
      <c r="U2552" s="13"/>
      <c r="V2552" s="13"/>
      <c r="W2552" s="13"/>
      <c r="X2552" s="13"/>
      <c r="Y2552" s="13"/>
      <c r="Z2552" s="13"/>
      <c r="AA2552" s="13"/>
      <c r="AB2552" s="13"/>
      <c r="AC2552" s="13"/>
      <c r="AD2552" s="13"/>
      <c r="AE2552" s="13"/>
      <c r="AF2552" s="13"/>
      <c r="AG2552" s="13"/>
    </row>
    <row r="2553" spans="1:33" s="14" customFormat="1" ht="15" customHeight="1">
      <c r="A2553" s="10">
        <v>42872</v>
      </c>
      <c r="B2553" s="3" t="s">
        <v>113</v>
      </c>
      <c r="C2553" s="15" t="s">
        <v>47</v>
      </c>
      <c r="D2553" s="15">
        <v>500</v>
      </c>
      <c r="E2553" s="11">
        <v>2000</v>
      </c>
      <c r="F2553" s="3" t="s">
        <v>8</v>
      </c>
      <c r="G2553" s="46">
        <v>8</v>
      </c>
      <c r="H2553" s="3">
        <v>9.5</v>
      </c>
      <c r="I2553" s="46">
        <v>0</v>
      </c>
      <c r="J2553" s="55">
        <v>0</v>
      </c>
      <c r="K2553" s="1">
        <f t="shared" ref="K2553" si="3568">(IF(F2553="SELL",G2553-H2553,IF(F2553="BUY",H2553-G2553)))*E2553</f>
        <v>3000</v>
      </c>
      <c r="L2553" s="51">
        <v>0</v>
      </c>
      <c r="M2553" s="52">
        <f t="shared" si="3565"/>
        <v>0</v>
      </c>
      <c r="N2553" s="2">
        <f t="shared" si="3517"/>
        <v>1.5</v>
      </c>
      <c r="O2553" s="2">
        <f t="shared" si="3542"/>
        <v>3000</v>
      </c>
      <c r="P2553" s="13"/>
      <c r="Q2553" s="13"/>
      <c r="R2553" s="13"/>
      <c r="S2553" s="13"/>
      <c r="T2553" s="13"/>
      <c r="U2553" s="13"/>
      <c r="V2553" s="13"/>
      <c r="W2553" s="13"/>
      <c r="X2553" s="13"/>
      <c r="Y2553" s="13"/>
      <c r="Z2553" s="13"/>
      <c r="AA2553" s="13"/>
      <c r="AB2553" s="13"/>
      <c r="AC2553" s="13"/>
      <c r="AD2553" s="13"/>
      <c r="AE2553" s="13"/>
      <c r="AF2553" s="13"/>
      <c r="AG2553" s="13"/>
    </row>
    <row r="2554" spans="1:33" s="14" customFormat="1" ht="15" customHeight="1">
      <c r="A2554" s="10">
        <v>42872</v>
      </c>
      <c r="B2554" s="3" t="s">
        <v>83</v>
      </c>
      <c r="C2554" s="15" t="s">
        <v>47</v>
      </c>
      <c r="D2554" s="15">
        <v>23100</v>
      </c>
      <c r="E2554" s="11">
        <v>40</v>
      </c>
      <c r="F2554" s="3" t="s">
        <v>8</v>
      </c>
      <c r="G2554" s="46">
        <v>10</v>
      </c>
      <c r="H2554" s="3">
        <v>20</v>
      </c>
      <c r="I2554" s="46">
        <v>0</v>
      </c>
      <c r="J2554" s="55">
        <v>0</v>
      </c>
      <c r="K2554" s="1">
        <f t="shared" ref="K2554" si="3569">(IF(F2554="SELL",G2554-H2554,IF(F2554="BUY",H2554-G2554)))*E2554</f>
        <v>400</v>
      </c>
      <c r="L2554" s="51">
        <v>0</v>
      </c>
      <c r="M2554" s="52">
        <f t="shared" si="3565"/>
        <v>0</v>
      </c>
      <c r="N2554" s="2">
        <f t="shared" si="3517"/>
        <v>10</v>
      </c>
      <c r="O2554" s="2">
        <f t="shared" si="3542"/>
        <v>400</v>
      </c>
      <c r="P2554" s="13"/>
      <c r="Q2554" s="13"/>
      <c r="R2554" s="13"/>
      <c r="S2554" s="13"/>
      <c r="T2554" s="13"/>
      <c r="U2554" s="13"/>
      <c r="V2554" s="13"/>
      <c r="W2554" s="13"/>
      <c r="X2554" s="13"/>
      <c r="Y2554" s="13"/>
      <c r="Z2554" s="13"/>
      <c r="AA2554" s="13"/>
      <c r="AB2554" s="13"/>
      <c r="AC2554" s="13"/>
      <c r="AD2554" s="13"/>
      <c r="AE2554" s="13"/>
      <c r="AF2554" s="13"/>
      <c r="AG2554" s="13"/>
    </row>
    <row r="2555" spans="1:33" s="14" customFormat="1" ht="15" customHeight="1">
      <c r="A2555" s="10">
        <v>42872</v>
      </c>
      <c r="B2555" s="3" t="s">
        <v>83</v>
      </c>
      <c r="C2555" s="15" t="s">
        <v>47</v>
      </c>
      <c r="D2555" s="15">
        <v>22900</v>
      </c>
      <c r="E2555" s="11">
        <v>40</v>
      </c>
      <c r="F2555" s="3" t="s">
        <v>8</v>
      </c>
      <c r="G2555" s="46">
        <v>60</v>
      </c>
      <c r="H2555" s="3">
        <v>75</v>
      </c>
      <c r="I2555" s="46">
        <v>90</v>
      </c>
      <c r="J2555" s="55">
        <v>95</v>
      </c>
      <c r="K2555" s="1">
        <f t="shared" ref="K2555" si="3570">(IF(F2555="SELL",G2555-H2555,IF(F2555="BUY",H2555-G2555)))*E2555</f>
        <v>600</v>
      </c>
      <c r="L2555" s="51">
        <f t="shared" ref="L2555" si="3571">(IF(F2555="SELL",IF(I2555="",0,H2555-I2555),IF(F2555="BUY",IF(I2555="",0,I2555-H2555))))*E2555</f>
        <v>600</v>
      </c>
      <c r="M2555" s="52">
        <f t="shared" si="3565"/>
        <v>200</v>
      </c>
      <c r="N2555" s="2">
        <f t="shared" si="3517"/>
        <v>35</v>
      </c>
      <c r="O2555" s="2">
        <f t="shared" si="3542"/>
        <v>1400</v>
      </c>
      <c r="P2555" s="13"/>
      <c r="Q2555" s="13"/>
      <c r="R2555" s="13"/>
      <c r="S2555" s="13"/>
      <c r="T2555" s="13"/>
      <c r="U2555" s="13"/>
      <c r="V2555" s="13"/>
      <c r="W2555" s="13"/>
      <c r="X2555" s="13"/>
      <c r="Y2555" s="13"/>
      <c r="Z2555" s="13"/>
      <c r="AA2555" s="13"/>
      <c r="AB2555" s="13"/>
      <c r="AC2555" s="13"/>
      <c r="AD2555" s="13"/>
      <c r="AE2555" s="13"/>
      <c r="AF2555" s="13"/>
      <c r="AG2555" s="13"/>
    </row>
    <row r="2556" spans="1:33" s="14" customFormat="1" ht="15" customHeight="1">
      <c r="A2556" s="10">
        <v>42871</v>
      </c>
      <c r="B2556" s="3" t="s">
        <v>112</v>
      </c>
      <c r="C2556" s="15" t="s">
        <v>46</v>
      </c>
      <c r="D2556" s="15">
        <v>260</v>
      </c>
      <c r="E2556" s="11">
        <v>2100</v>
      </c>
      <c r="F2556" s="3" t="s">
        <v>8</v>
      </c>
      <c r="G2556" s="46">
        <v>28</v>
      </c>
      <c r="H2556" s="3">
        <v>3.5</v>
      </c>
      <c r="I2556" s="46">
        <v>0</v>
      </c>
      <c r="J2556" s="55">
        <v>0</v>
      </c>
      <c r="K2556" s="1">
        <v>0</v>
      </c>
      <c r="L2556" s="51">
        <v>0</v>
      </c>
      <c r="M2556" s="52">
        <v>0</v>
      </c>
      <c r="N2556" s="2">
        <f t="shared" si="3517"/>
        <v>0</v>
      </c>
      <c r="O2556" s="2">
        <f t="shared" si="3542"/>
        <v>0</v>
      </c>
      <c r="P2556" s="13"/>
      <c r="Q2556" s="13"/>
      <c r="R2556" s="13"/>
      <c r="S2556" s="13"/>
      <c r="T2556" s="13"/>
      <c r="U2556" s="13"/>
      <c r="V2556" s="13"/>
      <c r="W2556" s="13"/>
      <c r="X2556" s="13"/>
      <c r="Y2556" s="13"/>
      <c r="Z2556" s="13"/>
      <c r="AA2556" s="13"/>
      <c r="AB2556" s="13"/>
      <c r="AC2556" s="13"/>
      <c r="AD2556" s="13"/>
      <c r="AE2556" s="13"/>
      <c r="AF2556" s="13"/>
      <c r="AG2556" s="13"/>
    </row>
    <row r="2557" spans="1:33" s="14" customFormat="1" ht="15" customHeight="1">
      <c r="A2557" s="10">
        <v>42870</v>
      </c>
      <c r="B2557" s="3" t="s">
        <v>111</v>
      </c>
      <c r="C2557" s="15" t="s">
        <v>47</v>
      </c>
      <c r="D2557" s="15">
        <v>1200</v>
      </c>
      <c r="E2557" s="11">
        <v>550</v>
      </c>
      <c r="F2557" s="3" t="s">
        <v>8</v>
      </c>
      <c r="G2557" s="46">
        <v>28</v>
      </c>
      <c r="H2557" s="3">
        <v>28</v>
      </c>
      <c r="I2557" s="46">
        <v>0</v>
      </c>
      <c r="J2557" s="55">
        <v>0</v>
      </c>
      <c r="K2557" s="1">
        <f t="shared" ref="K2557" si="3572">(IF(F2557="SELL",G2557-H2557,IF(F2557="BUY",H2557-G2557)))*E2557</f>
        <v>0</v>
      </c>
      <c r="L2557" s="51">
        <v>0</v>
      </c>
      <c r="M2557" s="52">
        <v>0</v>
      </c>
      <c r="N2557" s="2">
        <f t="shared" si="3517"/>
        <v>0</v>
      </c>
      <c r="O2557" s="2">
        <f t="shared" si="3542"/>
        <v>0</v>
      </c>
      <c r="P2557" s="13"/>
      <c r="Q2557" s="13"/>
      <c r="R2557" s="13"/>
      <c r="S2557" s="13"/>
      <c r="T2557" s="13"/>
      <c r="U2557" s="13"/>
      <c r="V2557" s="13"/>
      <c r="W2557" s="13"/>
      <c r="X2557" s="13"/>
      <c r="Y2557" s="13"/>
      <c r="Z2557" s="13"/>
      <c r="AA2557" s="13"/>
      <c r="AB2557" s="13"/>
      <c r="AC2557" s="13"/>
      <c r="AD2557" s="13"/>
      <c r="AE2557" s="13"/>
      <c r="AF2557" s="13"/>
      <c r="AG2557" s="13"/>
    </row>
    <row r="2558" spans="1:33" s="14" customFormat="1" ht="15" customHeight="1">
      <c r="A2558" s="10">
        <v>42870</v>
      </c>
      <c r="B2558" s="3" t="s">
        <v>71</v>
      </c>
      <c r="C2558" s="15" t="s">
        <v>47</v>
      </c>
      <c r="D2558" s="15">
        <v>200</v>
      </c>
      <c r="E2558" s="11">
        <v>3000</v>
      </c>
      <c r="F2558" s="3" t="s">
        <v>8</v>
      </c>
      <c r="G2558" s="46">
        <v>8.5</v>
      </c>
      <c r="H2558" s="3">
        <v>8.5</v>
      </c>
      <c r="I2558" s="46">
        <v>0</v>
      </c>
      <c r="J2558" s="55">
        <v>0</v>
      </c>
      <c r="K2558" s="1">
        <f t="shared" ref="K2558" si="3573">(IF(F2558="SELL",G2558-H2558,IF(F2558="BUY",H2558-G2558)))*E2558</f>
        <v>0</v>
      </c>
      <c r="L2558" s="51">
        <v>0</v>
      </c>
      <c r="M2558" s="52">
        <v>0</v>
      </c>
      <c r="N2558" s="2">
        <f t="shared" si="3517"/>
        <v>0</v>
      </c>
      <c r="O2558" s="2">
        <f t="shared" si="3542"/>
        <v>0</v>
      </c>
      <c r="P2558" s="13"/>
      <c r="Q2558" s="13"/>
      <c r="R2558" s="13"/>
      <c r="S2558" s="13"/>
      <c r="T2558" s="13"/>
      <c r="U2558" s="13"/>
      <c r="V2558" s="13"/>
      <c r="W2558" s="13"/>
      <c r="X2558" s="13"/>
      <c r="Y2558" s="13"/>
      <c r="Z2558" s="13"/>
      <c r="AA2558" s="13"/>
      <c r="AB2558" s="13"/>
      <c r="AC2558" s="13"/>
      <c r="AD2558" s="13"/>
      <c r="AE2558" s="13"/>
      <c r="AF2558" s="13"/>
      <c r="AG2558" s="13"/>
    </row>
    <row r="2559" spans="1:33" s="14" customFormat="1" ht="15" customHeight="1">
      <c r="A2559" s="10">
        <v>42870</v>
      </c>
      <c r="B2559" s="3" t="s">
        <v>83</v>
      </c>
      <c r="C2559" s="15" t="s">
        <v>46</v>
      </c>
      <c r="D2559" s="15">
        <v>22700</v>
      </c>
      <c r="E2559" s="11">
        <v>40</v>
      </c>
      <c r="F2559" s="3" t="s">
        <v>8</v>
      </c>
      <c r="G2559" s="46">
        <v>75</v>
      </c>
      <c r="H2559" s="3">
        <v>75</v>
      </c>
      <c r="I2559" s="46">
        <v>0</v>
      </c>
      <c r="J2559" s="55">
        <v>0</v>
      </c>
      <c r="K2559" s="1">
        <f t="shared" ref="K2559" si="3574">(IF(F2559="SELL",G2559-H2559,IF(F2559="BUY",H2559-G2559)))*E2559</f>
        <v>0</v>
      </c>
      <c r="L2559" s="51">
        <v>0</v>
      </c>
      <c r="M2559" s="52">
        <v>0</v>
      </c>
      <c r="N2559" s="2">
        <f t="shared" si="3517"/>
        <v>0</v>
      </c>
      <c r="O2559" s="2">
        <f t="shared" si="3542"/>
        <v>0</v>
      </c>
      <c r="P2559" s="13"/>
      <c r="Q2559" s="13"/>
      <c r="R2559" s="13"/>
      <c r="S2559" s="13"/>
      <c r="T2559" s="13"/>
      <c r="U2559" s="13"/>
      <c r="V2559" s="13"/>
      <c r="W2559" s="13"/>
      <c r="X2559" s="13"/>
      <c r="Y2559" s="13"/>
      <c r="Z2559" s="13"/>
      <c r="AA2559" s="13"/>
      <c r="AB2559" s="13"/>
      <c r="AC2559" s="13"/>
      <c r="AD2559" s="13"/>
      <c r="AE2559" s="13"/>
      <c r="AF2559" s="13"/>
      <c r="AG2559" s="13"/>
    </row>
    <row r="2560" spans="1:33" s="14" customFormat="1" ht="15" customHeight="1">
      <c r="A2560" s="10">
        <v>42870</v>
      </c>
      <c r="B2560" s="3" t="s">
        <v>60</v>
      </c>
      <c r="C2560" s="15" t="s">
        <v>47</v>
      </c>
      <c r="D2560" s="15">
        <v>240</v>
      </c>
      <c r="E2560" s="11">
        <v>3500</v>
      </c>
      <c r="F2560" s="3" t="s">
        <v>8</v>
      </c>
      <c r="G2560" s="46">
        <v>7</v>
      </c>
      <c r="H2560" s="3">
        <v>7</v>
      </c>
      <c r="I2560" s="46">
        <v>0</v>
      </c>
      <c r="J2560" s="55">
        <v>0</v>
      </c>
      <c r="K2560" s="1">
        <f t="shared" ref="K2560" si="3575">(IF(F2560="SELL",G2560-H2560,IF(F2560="BUY",H2560-G2560)))*E2560</f>
        <v>0</v>
      </c>
      <c r="L2560" s="51">
        <v>0</v>
      </c>
      <c r="M2560" s="52">
        <v>0</v>
      </c>
      <c r="N2560" s="2">
        <f t="shared" si="3517"/>
        <v>0</v>
      </c>
      <c r="O2560" s="2">
        <f t="shared" si="3542"/>
        <v>0</v>
      </c>
      <c r="P2560" s="13"/>
      <c r="Q2560" s="13"/>
      <c r="R2560" s="13"/>
      <c r="S2560" s="13"/>
      <c r="T2560" s="13"/>
      <c r="U2560" s="13"/>
      <c r="V2560" s="13"/>
      <c r="W2560" s="13"/>
      <c r="X2560" s="13"/>
      <c r="Y2560" s="13"/>
      <c r="Z2560" s="13"/>
      <c r="AA2560" s="13"/>
      <c r="AB2560" s="13"/>
      <c r="AC2560" s="13"/>
      <c r="AD2560" s="13"/>
      <c r="AE2560" s="13"/>
      <c r="AF2560" s="13"/>
      <c r="AG2560" s="13"/>
    </row>
    <row r="2561" spans="1:33" s="14" customFormat="1" ht="15" customHeight="1">
      <c r="A2561" s="10">
        <v>42867</v>
      </c>
      <c r="B2561" s="3" t="s">
        <v>17</v>
      </c>
      <c r="C2561" s="15" t="s">
        <v>46</v>
      </c>
      <c r="D2561" s="15">
        <v>510</v>
      </c>
      <c r="E2561" s="11">
        <v>1200</v>
      </c>
      <c r="F2561" s="3" t="s">
        <v>8</v>
      </c>
      <c r="G2561" s="46">
        <v>9</v>
      </c>
      <c r="H2561" s="3">
        <v>10.25</v>
      </c>
      <c r="I2561" s="46">
        <v>12.5</v>
      </c>
      <c r="J2561" s="55">
        <v>0</v>
      </c>
      <c r="K2561" s="1">
        <f t="shared" ref="K2561" si="3576">(IF(F2561="SELL",G2561-H2561,IF(F2561="BUY",H2561-G2561)))*E2561</f>
        <v>1500</v>
      </c>
      <c r="L2561" s="51">
        <f t="shared" ref="L2561" si="3577">(IF(F2561="SELL",IF(I2561="",0,H2561-I2561),IF(F2561="BUY",IF(I2561="",0,I2561-H2561))))*E2561</f>
        <v>2700</v>
      </c>
      <c r="M2561" s="52">
        <v>0</v>
      </c>
      <c r="N2561" s="2">
        <f t="shared" si="3517"/>
        <v>3.5</v>
      </c>
      <c r="O2561" s="2">
        <f t="shared" si="3542"/>
        <v>4200</v>
      </c>
      <c r="P2561" s="13"/>
      <c r="Q2561" s="13"/>
      <c r="R2561" s="13"/>
      <c r="S2561" s="13"/>
      <c r="T2561" s="13"/>
      <c r="U2561" s="13"/>
      <c r="V2561" s="13"/>
      <c r="W2561" s="13"/>
      <c r="X2561" s="13"/>
      <c r="Y2561" s="13"/>
      <c r="Z2561" s="13"/>
      <c r="AA2561" s="13"/>
      <c r="AB2561" s="13"/>
      <c r="AC2561" s="13"/>
      <c r="AD2561" s="13"/>
      <c r="AE2561" s="13"/>
      <c r="AF2561" s="13"/>
      <c r="AG2561" s="13"/>
    </row>
    <row r="2562" spans="1:33" s="14" customFormat="1" ht="15" customHeight="1">
      <c r="A2562" s="10">
        <v>42867</v>
      </c>
      <c r="B2562" s="3" t="s">
        <v>71</v>
      </c>
      <c r="C2562" s="15" t="s">
        <v>47</v>
      </c>
      <c r="D2562" s="15">
        <v>200</v>
      </c>
      <c r="E2562" s="11">
        <v>3000</v>
      </c>
      <c r="F2562" s="3" t="s">
        <v>8</v>
      </c>
      <c r="G2562" s="46">
        <v>6.5</v>
      </c>
      <c r="H2562" s="3">
        <v>7</v>
      </c>
      <c r="I2562" s="46">
        <v>0</v>
      </c>
      <c r="J2562" s="55">
        <v>0</v>
      </c>
      <c r="K2562" s="1">
        <f t="shared" ref="K2562" si="3578">(IF(F2562="SELL",G2562-H2562,IF(F2562="BUY",H2562-G2562)))*E2562</f>
        <v>1500</v>
      </c>
      <c r="L2562" s="51">
        <v>0</v>
      </c>
      <c r="M2562" s="52">
        <f>(IF(F2562="SELL",IF(J2562="",0,I2562-J2562),IF(F2562="BUY",IF(J2562="",0,(J2562-I2562)))))*E2562</f>
        <v>0</v>
      </c>
      <c r="N2562" s="2">
        <f t="shared" si="3517"/>
        <v>0.5</v>
      </c>
      <c r="O2562" s="2">
        <f t="shared" si="3542"/>
        <v>1500</v>
      </c>
      <c r="P2562" s="13"/>
      <c r="Q2562" s="13"/>
      <c r="R2562" s="13"/>
      <c r="S2562" s="13"/>
      <c r="T2562" s="13"/>
      <c r="U2562" s="13"/>
      <c r="V2562" s="13"/>
      <c r="W2562" s="13"/>
      <c r="X2562" s="13"/>
      <c r="Y2562" s="13"/>
      <c r="Z2562" s="13"/>
      <c r="AA2562" s="13"/>
      <c r="AB2562" s="13"/>
      <c r="AC2562" s="13"/>
      <c r="AD2562" s="13"/>
      <c r="AE2562" s="13"/>
      <c r="AF2562" s="13"/>
      <c r="AG2562" s="13"/>
    </row>
    <row r="2563" spans="1:33" s="14" customFormat="1" ht="15" customHeight="1">
      <c r="A2563" s="10">
        <v>42867</v>
      </c>
      <c r="B2563" s="3" t="s">
        <v>76</v>
      </c>
      <c r="C2563" s="15" t="s">
        <v>46</v>
      </c>
      <c r="D2563" s="15">
        <v>9400</v>
      </c>
      <c r="E2563" s="11">
        <v>75</v>
      </c>
      <c r="F2563" s="3" t="s">
        <v>8</v>
      </c>
      <c r="G2563" s="46">
        <v>58</v>
      </c>
      <c r="H2563" s="3">
        <v>68</v>
      </c>
      <c r="I2563" s="46">
        <v>0</v>
      </c>
      <c r="J2563" s="55">
        <v>0</v>
      </c>
      <c r="K2563" s="1">
        <f t="shared" ref="K2563" si="3579">(IF(F2563="SELL",G2563-H2563,IF(F2563="BUY",H2563-G2563)))*E2563</f>
        <v>750</v>
      </c>
      <c r="L2563" s="51">
        <v>0</v>
      </c>
      <c r="M2563" s="52">
        <f>(IF(F2563="SELL",IF(J2563="",0,I2563-J2563),IF(F2563="BUY",IF(J2563="",0,(J2563-I2563)))))*E2563</f>
        <v>0</v>
      </c>
      <c r="N2563" s="2">
        <f t="shared" si="3517"/>
        <v>10</v>
      </c>
      <c r="O2563" s="2">
        <f t="shared" si="3542"/>
        <v>750</v>
      </c>
      <c r="P2563" s="13"/>
      <c r="Q2563" s="13"/>
      <c r="R2563" s="13"/>
      <c r="S2563" s="13"/>
      <c r="T2563" s="13"/>
      <c r="U2563" s="13"/>
      <c r="V2563" s="13"/>
      <c r="W2563" s="13"/>
      <c r="X2563" s="13"/>
      <c r="Y2563" s="13"/>
      <c r="Z2563" s="13"/>
      <c r="AA2563" s="13"/>
      <c r="AB2563" s="13"/>
      <c r="AC2563" s="13"/>
      <c r="AD2563" s="13"/>
      <c r="AE2563" s="13"/>
      <c r="AF2563" s="13"/>
      <c r="AG2563" s="13"/>
    </row>
    <row r="2564" spans="1:33" s="14" customFormat="1" ht="15" customHeight="1">
      <c r="A2564" s="10">
        <v>42867</v>
      </c>
      <c r="B2564" s="3" t="s">
        <v>83</v>
      </c>
      <c r="C2564" s="15" t="s">
        <v>46</v>
      </c>
      <c r="D2564" s="15">
        <v>22800</v>
      </c>
      <c r="E2564" s="11">
        <v>40</v>
      </c>
      <c r="F2564" s="3" t="s">
        <v>8</v>
      </c>
      <c r="G2564" s="46">
        <v>130</v>
      </c>
      <c r="H2564" s="3">
        <v>145</v>
      </c>
      <c r="I2564" s="46">
        <v>160</v>
      </c>
      <c r="J2564" s="55">
        <v>200</v>
      </c>
      <c r="K2564" s="1">
        <f t="shared" ref="K2564" si="3580">(IF(F2564="SELL",G2564-H2564,IF(F2564="BUY",H2564-G2564)))*E2564</f>
        <v>600</v>
      </c>
      <c r="L2564" s="51">
        <f t="shared" ref="L2564" si="3581">(IF(F2564="SELL",IF(I2564="",0,H2564-I2564),IF(F2564="BUY",IF(I2564="",0,I2564-H2564))))*E2564</f>
        <v>600</v>
      </c>
      <c r="M2564" s="52">
        <f>(IF(F2564="SELL",IF(J2564="",0,I2564-J2564),IF(F2564="BUY",IF(J2564="",0,(J2564-I2564)))))*E2564</f>
        <v>1600</v>
      </c>
      <c r="N2564" s="2">
        <f t="shared" si="3517"/>
        <v>70</v>
      </c>
      <c r="O2564" s="2">
        <f t="shared" si="3542"/>
        <v>2800</v>
      </c>
      <c r="P2564" s="13"/>
      <c r="Q2564" s="13"/>
      <c r="R2564" s="13"/>
      <c r="S2564" s="13"/>
      <c r="T2564" s="13"/>
      <c r="U2564" s="13"/>
      <c r="V2564" s="13"/>
      <c r="W2564" s="13"/>
      <c r="X2564" s="13"/>
      <c r="Y2564" s="13"/>
      <c r="Z2564" s="13"/>
      <c r="AA2564" s="13"/>
      <c r="AB2564" s="13"/>
      <c r="AC2564" s="13"/>
      <c r="AD2564" s="13"/>
      <c r="AE2564" s="13"/>
      <c r="AF2564" s="13"/>
      <c r="AG2564" s="13"/>
    </row>
    <row r="2565" spans="1:33" s="14" customFormat="1" ht="15" customHeight="1">
      <c r="A2565" s="10">
        <v>42867</v>
      </c>
      <c r="B2565" s="3" t="s">
        <v>110</v>
      </c>
      <c r="C2565" s="15" t="s">
        <v>47</v>
      </c>
      <c r="D2565" s="15">
        <v>1160</v>
      </c>
      <c r="E2565" s="11">
        <v>600</v>
      </c>
      <c r="F2565" s="3" t="s">
        <v>8</v>
      </c>
      <c r="G2565" s="46">
        <v>29</v>
      </c>
      <c r="H2565" s="3">
        <v>29</v>
      </c>
      <c r="I2565" s="46">
        <v>0</v>
      </c>
      <c r="J2565" s="55">
        <v>0</v>
      </c>
      <c r="K2565" s="1">
        <f t="shared" ref="K2565" si="3582">(IF(F2565="SELL",G2565-H2565,IF(F2565="BUY",H2565-G2565)))*E2565</f>
        <v>0</v>
      </c>
      <c r="L2565" s="51">
        <v>0</v>
      </c>
      <c r="M2565" s="52">
        <v>0</v>
      </c>
      <c r="N2565" s="2">
        <f t="shared" si="3517"/>
        <v>0</v>
      </c>
      <c r="O2565" s="2">
        <f t="shared" si="3542"/>
        <v>0</v>
      </c>
      <c r="P2565" s="13"/>
      <c r="Q2565" s="13"/>
      <c r="R2565" s="13"/>
      <c r="S2565" s="13"/>
      <c r="T2565" s="13"/>
      <c r="U2565" s="13"/>
      <c r="V2565" s="13"/>
      <c r="W2565" s="13"/>
      <c r="X2565" s="13"/>
      <c r="Y2565" s="13"/>
      <c r="Z2565" s="13"/>
      <c r="AA2565" s="13"/>
      <c r="AB2565" s="13"/>
      <c r="AC2565" s="13"/>
      <c r="AD2565" s="13"/>
      <c r="AE2565" s="13"/>
      <c r="AF2565" s="13"/>
      <c r="AG2565" s="13"/>
    </row>
    <row r="2566" spans="1:33" s="14" customFormat="1" ht="15" customHeight="1">
      <c r="A2566" s="10">
        <v>42866</v>
      </c>
      <c r="B2566" s="3" t="s">
        <v>30</v>
      </c>
      <c r="C2566" s="15" t="s">
        <v>47</v>
      </c>
      <c r="D2566" s="15">
        <v>300</v>
      </c>
      <c r="E2566" s="11">
        <v>2500</v>
      </c>
      <c r="F2566" s="3" t="s">
        <v>8</v>
      </c>
      <c r="G2566" s="46">
        <v>8.5</v>
      </c>
      <c r="H2566" s="3">
        <v>8.5</v>
      </c>
      <c r="I2566" s="46">
        <v>0</v>
      </c>
      <c r="J2566" s="55">
        <v>0</v>
      </c>
      <c r="K2566" s="1">
        <f t="shared" ref="K2566" si="3583">(IF(F2566="SELL",G2566-H2566,IF(F2566="BUY",H2566-G2566)))*E2566</f>
        <v>0</v>
      </c>
      <c r="L2566" s="51">
        <v>0</v>
      </c>
      <c r="M2566" s="52">
        <v>0</v>
      </c>
      <c r="N2566" s="2">
        <f t="shared" si="3517"/>
        <v>0</v>
      </c>
      <c r="O2566" s="2">
        <f t="shared" si="3542"/>
        <v>0</v>
      </c>
      <c r="P2566" s="13"/>
      <c r="Q2566" s="13"/>
      <c r="R2566" s="13"/>
      <c r="S2566" s="13"/>
      <c r="T2566" s="13"/>
      <c r="U2566" s="13"/>
      <c r="V2566" s="13"/>
      <c r="W2566" s="13"/>
      <c r="X2566" s="13"/>
      <c r="Y2566" s="13"/>
      <c r="Z2566" s="13"/>
      <c r="AA2566" s="13"/>
      <c r="AB2566" s="13"/>
      <c r="AC2566" s="13"/>
      <c r="AD2566" s="13"/>
      <c r="AE2566" s="13"/>
      <c r="AF2566" s="13"/>
      <c r="AG2566" s="13"/>
    </row>
    <row r="2567" spans="1:33" s="14" customFormat="1" ht="15" customHeight="1">
      <c r="A2567" s="10">
        <v>42866</v>
      </c>
      <c r="B2567" s="3" t="s">
        <v>21</v>
      </c>
      <c r="C2567" s="15" t="s">
        <v>47</v>
      </c>
      <c r="D2567" s="15">
        <v>300</v>
      </c>
      <c r="E2567" s="11">
        <v>3000</v>
      </c>
      <c r="F2567" s="3" t="s">
        <v>8</v>
      </c>
      <c r="G2567" s="46">
        <v>7</v>
      </c>
      <c r="H2567" s="3">
        <v>7.5</v>
      </c>
      <c r="I2567" s="46">
        <v>0</v>
      </c>
      <c r="J2567" s="55">
        <v>0</v>
      </c>
      <c r="K2567" s="1">
        <f t="shared" ref="K2567" si="3584">(IF(F2567="SELL",G2567-H2567,IF(F2567="BUY",H2567-G2567)))*E2567</f>
        <v>1500</v>
      </c>
      <c r="L2567" s="51">
        <v>0</v>
      </c>
      <c r="M2567" s="52">
        <v>0</v>
      </c>
      <c r="N2567" s="2">
        <f t="shared" si="3517"/>
        <v>0.5</v>
      </c>
      <c r="O2567" s="2">
        <f t="shared" si="3542"/>
        <v>1500</v>
      </c>
      <c r="P2567" s="13"/>
      <c r="Q2567" s="13"/>
      <c r="R2567" s="13"/>
      <c r="S2567" s="13"/>
      <c r="T2567" s="13"/>
      <c r="U2567" s="13"/>
      <c r="V2567" s="13"/>
      <c r="W2567" s="13"/>
      <c r="X2567" s="13"/>
      <c r="Y2567" s="13"/>
      <c r="Z2567" s="13"/>
      <c r="AA2567" s="13"/>
      <c r="AB2567" s="13"/>
      <c r="AC2567" s="13"/>
      <c r="AD2567" s="13"/>
      <c r="AE2567" s="13"/>
      <c r="AF2567" s="13"/>
      <c r="AG2567" s="13"/>
    </row>
    <row r="2568" spans="1:33" s="14" customFormat="1" ht="15" customHeight="1">
      <c r="A2568" s="10">
        <v>42866</v>
      </c>
      <c r="B2568" s="3" t="s">
        <v>102</v>
      </c>
      <c r="C2568" s="15" t="s">
        <v>47</v>
      </c>
      <c r="D2568" s="15">
        <v>380</v>
      </c>
      <c r="E2568" s="11">
        <v>500</v>
      </c>
      <c r="F2568" s="3" t="s">
        <v>8</v>
      </c>
      <c r="G2568" s="46">
        <v>7</v>
      </c>
      <c r="H2568" s="3">
        <v>7.5</v>
      </c>
      <c r="I2568" s="46">
        <v>8.5</v>
      </c>
      <c r="J2568" s="55">
        <v>0</v>
      </c>
      <c r="K2568" s="1">
        <f t="shared" ref="K2568" si="3585">(IF(F2568="SELL",G2568-H2568,IF(F2568="BUY",H2568-G2568)))*E2568</f>
        <v>250</v>
      </c>
      <c r="L2568" s="51">
        <f t="shared" ref="L2568" si="3586">(IF(F2568="SELL",IF(I2568="",0,H2568-I2568),IF(F2568="BUY",IF(I2568="",0,I2568-H2568))))*E2568</f>
        <v>500</v>
      </c>
      <c r="M2568" s="52">
        <v>0</v>
      </c>
      <c r="N2568" s="2">
        <f t="shared" si="3517"/>
        <v>1.5</v>
      </c>
      <c r="O2568" s="2">
        <f t="shared" si="3542"/>
        <v>750</v>
      </c>
      <c r="P2568" s="13"/>
      <c r="Q2568" s="13"/>
      <c r="R2568" s="13"/>
      <c r="S2568" s="13"/>
      <c r="T2568" s="13"/>
      <c r="U2568" s="13"/>
      <c r="V2568" s="13"/>
      <c r="W2568" s="13"/>
      <c r="X2568" s="13"/>
      <c r="Y2568" s="13"/>
      <c r="Z2568" s="13"/>
      <c r="AA2568" s="13"/>
      <c r="AB2568" s="13"/>
      <c r="AC2568" s="13"/>
      <c r="AD2568" s="13"/>
      <c r="AE2568" s="13"/>
      <c r="AF2568" s="13"/>
      <c r="AG2568" s="13"/>
    </row>
    <row r="2569" spans="1:33" s="14" customFormat="1" ht="15" customHeight="1">
      <c r="A2569" s="10">
        <v>42866</v>
      </c>
      <c r="B2569" s="3" t="s">
        <v>55</v>
      </c>
      <c r="C2569" s="15" t="s">
        <v>47</v>
      </c>
      <c r="D2569" s="15">
        <v>190</v>
      </c>
      <c r="E2569" s="11">
        <v>3500</v>
      </c>
      <c r="F2569" s="3" t="s">
        <v>8</v>
      </c>
      <c r="G2569" s="46">
        <v>6</v>
      </c>
      <c r="H2569" s="3">
        <v>6.4</v>
      </c>
      <c r="I2569" s="46">
        <v>0</v>
      </c>
      <c r="J2569" s="55">
        <v>0</v>
      </c>
      <c r="K2569" s="1">
        <f t="shared" ref="K2569" si="3587">(IF(F2569="SELL",G2569-H2569,IF(F2569="BUY",H2569-G2569)))*E2569</f>
        <v>1400.0000000000011</v>
      </c>
      <c r="L2569" s="51">
        <v>0</v>
      </c>
      <c r="M2569" s="52">
        <f t="shared" ref="M2569:M2578" si="3588">(IF(F2569="SELL",IF(J2569="",0,I2569-J2569),IF(F2569="BUY",IF(J2569="",0,(J2569-I2569)))))*E2569</f>
        <v>0</v>
      </c>
      <c r="N2569" s="2">
        <f t="shared" si="3517"/>
        <v>0.4000000000000003</v>
      </c>
      <c r="O2569" s="2">
        <f t="shared" si="3542"/>
        <v>1400.0000000000011</v>
      </c>
      <c r="P2569" s="13"/>
      <c r="Q2569" s="13"/>
      <c r="R2569" s="13"/>
      <c r="S2569" s="13"/>
      <c r="T2569" s="13"/>
      <c r="U2569" s="13"/>
      <c r="V2569" s="13"/>
      <c r="W2569" s="13"/>
      <c r="X2569" s="13"/>
      <c r="Y2569" s="13"/>
      <c r="Z2569" s="13"/>
      <c r="AA2569" s="13"/>
      <c r="AB2569" s="13"/>
      <c r="AC2569" s="13"/>
      <c r="AD2569" s="13"/>
      <c r="AE2569" s="13"/>
      <c r="AF2569" s="13"/>
      <c r="AG2569" s="13"/>
    </row>
    <row r="2570" spans="1:33" s="14" customFormat="1" ht="15" customHeight="1">
      <c r="A2570" s="10">
        <v>42866</v>
      </c>
      <c r="B2570" s="3" t="s">
        <v>17</v>
      </c>
      <c r="C2570" s="15" t="s">
        <v>47</v>
      </c>
      <c r="D2570" s="15">
        <v>530</v>
      </c>
      <c r="E2570" s="11">
        <v>1200</v>
      </c>
      <c r="F2570" s="3" t="s">
        <v>8</v>
      </c>
      <c r="G2570" s="46">
        <v>14.5</v>
      </c>
      <c r="H2570" s="3">
        <v>14.5</v>
      </c>
      <c r="I2570" s="46">
        <v>0</v>
      </c>
      <c r="J2570" s="55">
        <v>0</v>
      </c>
      <c r="K2570" s="1">
        <f t="shared" ref="K2570" si="3589">(IF(F2570="SELL",G2570-H2570,IF(F2570="BUY",H2570-G2570)))*E2570</f>
        <v>0</v>
      </c>
      <c r="L2570" s="51">
        <v>0</v>
      </c>
      <c r="M2570" s="52">
        <f t="shared" si="3588"/>
        <v>0</v>
      </c>
      <c r="N2570" s="2">
        <f t="shared" si="3517"/>
        <v>0</v>
      </c>
      <c r="O2570" s="2">
        <f t="shared" si="3542"/>
        <v>0</v>
      </c>
      <c r="P2570" s="13"/>
      <c r="Q2570" s="13"/>
      <c r="R2570" s="13"/>
      <c r="S2570" s="13"/>
      <c r="T2570" s="13"/>
      <c r="U2570" s="13"/>
      <c r="V2570" s="13"/>
      <c r="W2570" s="13"/>
      <c r="X2570" s="13"/>
      <c r="Y2570" s="13"/>
      <c r="Z2570" s="13"/>
      <c r="AA2570" s="13"/>
      <c r="AB2570" s="13"/>
      <c r="AC2570" s="13"/>
      <c r="AD2570" s="13"/>
      <c r="AE2570" s="13"/>
      <c r="AF2570" s="13"/>
      <c r="AG2570" s="13"/>
    </row>
    <row r="2571" spans="1:33" s="14" customFormat="1" ht="15" customHeight="1">
      <c r="A2571" s="10">
        <v>42866</v>
      </c>
      <c r="B2571" s="3" t="s">
        <v>83</v>
      </c>
      <c r="C2571" s="15" t="s">
        <v>47</v>
      </c>
      <c r="D2571" s="15">
        <v>22900</v>
      </c>
      <c r="E2571" s="11">
        <v>40</v>
      </c>
      <c r="F2571" s="3" t="s">
        <v>8</v>
      </c>
      <c r="G2571" s="46">
        <v>40</v>
      </c>
      <c r="H2571" s="3">
        <v>60</v>
      </c>
      <c r="I2571" s="46">
        <v>0</v>
      </c>
      <c r="J2571" s="55">
        <v>0</v>
      </c>
      <c r="K2571" s="1">
        <f t="shared" ref="K2571" si="3590">(IF(F2571="SELL",G2571-H2571,IF(F2571="BUY",H2571-G2571)))*E2571</f>
        <v>800</v>
      </c>
      <c r="L2571" s="51">
        <v>0</v>
      </c>
      <c r="M2571" s="52">
        <f t="shared" si="3588"/>
        <v>0</v>
      </c>
      <c r="N2571" s="2">
        <f t="shared" si="3517"/>
        <v>20</v>
      </c>
      <c r="O2571" s="2">
        <f t="shared" si="3542"/>
        <v>800</v>
      </c>
      <c r="P2571" s="13"/>
      <c r="Q2571" s="13"/>
      <c r="R2571" s="13"/>
      <c r="S2571" s="13"/>
      <c r="T2571" s="13"/>
      <c r="U2571" s="13"/>
      <c r="V2571" s="13"/>
      <c r="W2571" s="13"/>
      <c r="X2571" s="13"/>
      <c r="Y2571" s="13"/>
      <c r="Z2571" s="13"/>
      <c r="AA2571" s="13"/>
      <c r="AB2571" s="13"/>
      <c r="AC2571" s="13"/>
      <c r="AD2571" s="13"/>
      <c r="AE2571" s="13"/>
      <c r="AF2571" s="13"/>
      <c r="AG2571" s="13"/>
    </row>
    <row r="2572" spans="1:33" s="14" customFormat="1" ht="15" customHeight="1">
      <c r="A2572" s="10">
        <v>42866</v>
      </c>
      <c r="B2572" s="3" t="s">
        <v>83</v>
      </c>
      <c r="C2572" s="15" t="s">
        <v>47</v>
      </c>
      <c r="D2572" s="15">
        <v>22900</v>
      </c>
      <c r="E2572" s="11">
        <v>40</v>
      </c>
      <c r="F2572" s="3" t="s">
        <v>8</v>
      </c>
      <c r="G2572" s="46">
        <v>40</v>
      </c>
      <c r="H2572" s="3">
        <v>60</v>
      </c>
      <c r="I2572" s="46">
        <v>0</v>
      </c>
      <c r="J2572" s="55">
        <v>0</v>
      </c>
      <c r="K2572" s="1">
        <f t="shared" ref="K2572" si="3591">(IF(F2572="SELL",G2572-H2572,IF(F2572="BUY",H2572-G2572)))*E2572</f>
        <v>800</v>
      </c>
      <c r="L2572" s="51">
        <v>0</v>
      </c>
      <c r="M2572" s="52">
        <f t="shared" si="3588"/>
        <v>0</v>
      </c>
      <c r="N2572" s="2">
        <f t="shared" ref="N2572:N2635" si="3592">(L2572+K2572+M2572)/E2572</f>
        <v>20</v>
      </c>
      <c r="O2572" s="2">
        <f t="shared" si="3542"/>
        <v>800</v>
      </c>
      <c r="P2572" s="13"/>
      <c r="Q2572" s="13"/>
      <c r="R2572" s="13"/>
      <c r="S2572" s="13"/>
      <c r="T2572" s="13"/>
      <c r="U2572" s="13"/>
      <c r="V2572" s="13"/>
      <c r="W2572" s="13"/>
      <c r="X2572" s="13"/>
      <c r="Y2572" s="13"/>
      <c r="Z2572" s="13"/>
      <c r="AA2572" s="13"/>
      <c r="AB2572" s="13"/>
      <c r="AC2572" s="13"/>
      <c r="AD2572" s="13"/>
      <c r="AE2572" s="13"/>
      <c r="AF2572" s="13"/>
      <c r="AG2572" s="13"/>
    </row>
    <row r="2573" spans="1:33" s="14" customFormat="1" ht="15" customHeight="1">
      <c r="A2573" s="10">
        <v>42866</v>
      </c>
      <c r="B2573" s="3" t="s">
        <v>109</v>
      </c>
      <c r="C2573" s="15" t="s">
        <v>46</v>
      </c>
      <c r="D2573" s="15">
        <v>500</v>
      </c>
      <c r="E2573" s="11">
        <v>1200</v>
      </c>
      <c r="F2573" s="3" t="s">
        <v>8</v>
      </c>
      <c r="G2573" s="46">
        <v>5</v>
      </c>
      <c r="H2573" s="3">
        <v>30</v>
      </c>
      <c r="I2573" s="46">
        <v>0</v>
      </c>
      <c r="J2573" s="55">
        <v>0</v>
      </c>
      <c r="K2573" s="1">
        <f t="shared" ref="K2573" si="3593">(IF(F2573="SELL",G2573-H2573,IF(F2573="BUY",H2573-G2573)))*E2573</f>
        <v>30000</v>
      </c>
      <c r="L2573" s="51">
        <v>0</v>
      </c>
      <c r="M2573" s="52">
        <f t="shared" si="3588"/>
        <v>0</v>
      </c>
      <c r="N2573" s="2">
        <f t="shared" si="3592"/>
        <v>25</v>
      </c>
      <c r="O2573" s="2">
        <f t="shared" si="3542"/>
        <v>30000</v>
      </c>
      <c r="P2573" s="13"/>
      <c r="Q2573" s="13"/>
      <c r="R2573" s="13"/>
      <c r="S2573" s="13"/>
      <c r="T2573" s="13"/>
      <c r="U2573" s="13"/>
      <c r="V2573" s="13"/>
      <c r="W2573" s="13"/>
      <c r="X2573" s="13"/>
      <c r="Y2573" s="13"/>
      <c r="Z2573" s="13"/>
      <c r="AA2573" s="13"/>
      <c r="AB2573" s="13"/>
      <c r="AC2573" s="13"/>
      <c r="AD2573" s="13"/>
      <c r="AE2573" s="13"/>
      <c r="AF2573" s="13"/>
      <c r="AG2573" s="13"/>
    </row>
    <row r="2574" spans="1:33" s="14" customFormat="1" ht="15" customHeight="1">
      <c r="A2574" s="10">
        <v>42865</v>
      </c>
      <c r="B2574" s="3" t="s">
        <v>104</v>
      </c>
      <c r="C2574" s="15" t="s">
        <v>47</v>
      </c>
      <c r="D2574" s="15">
        <v>1680</v>
      </c>
      <c r="E2574" s="11">
        <v>400</v>
      </c>
      <c r="F2574" s="3" t="s">
        <v>8</v>
      </c>
      <c r="G2574" s="46">
        <v>30</v>
      </c>
      <c r="H2574" s="3">
        <v>30</v>
      </c>
      <c r="I2574" s="46">
        <v>0</v>
      </c>
      <c r="J2574" s="55">
        <v>0</v>
      </c>
      <c r="K2574" s="1">
        <f t="shared" ref="K2574" si="3594">(IF(F2574="SELL",G2574-H2574,IF(F2574="BUY",H2574-G2574)))*E2574</f>
        <v>0</v>
      </c>
      <c r="L2574" s="51">
        <v>0</v>
      </c>
      <c r="M2574" s="52">
        <f t="shared" si="3588"/>
        <v>0</v>
      </c>
      <c r="N2574" s="2">
        <f t="shared" si="3592"/>
        <v>0</v>
      </c>
      <c r="O2574" s="2">
        <f t="shared" si="3542"/>
        <v>0</v>
      </c>
      <c r="P2574" s="13"/>
      <c r="Q2574" s="13"/>
      <c r="R2574" s="13"/>
      <c r="S2574" s="13"/>
      <c r="T2574" s="13"/>
      <c r="U2574" s="13"/>
      <c r="V2574" s="13"/>
      <c r="W2574" s="13"/>
      <c r="X2574" s="13"/>
      <c r="Y2574" s="13"/>
      <c r="Z2574" s="13"/>
      <c r="AA2574" s="13"/>
      <c r="AB2574" s="13"/>
      <c r="AC2574" s="13"/>
      <c r="AD2574" s="13"/>
      <c r="AE2574" s="13"/>
      <c r="AF2574" s="13"/>
      <c r="AG2574" s="13"/>
    </row>
    <row r="2575" spans="1:33" s="14" customFormat="1" ht="15" customHeight="1">
      <c r="A2575" s="10">
        <v>42865</v>
      </c>
      <c r="B2575" s="3" t="s">
        <v>30</v>
      </c>
      <c r="C2575" s="15" t="s">
        <v>47</v>
      </c>
      <c r="D2575" s="15">
        <v>300</v>
      </c>
      <c r="E2575" s="11">
        <v>2500</v>
      </c>
      <c r="F2575" s="3" t="s">
        <v>8</v>
      </c>
      <c r="G2575" s="46">
        <v>9</v>
      </c>
      <c r="H2575" s="3">
        <v>9</v>
      </c>
      <c r="I2575" s="46">
        <v>0</v>
      </c>
      <c r="J2575" s="55">
        <v>0</v>
      </c>
      <c r="K2575" s="1">
        <f t="shared" ref="K2575" si="3595">(IF(F2575="SELL",G2575-H2575,IF(F2575="BUY",H2575-G2575)))*E2575</f>
        <v>0</v>
      </c>
      <c r="L2575" s="51">
        <v>0</v>
      </c>
      <c r="M2575" s="52">
        <f t="shared" si="3588"/>
        <v>0</v>
      </c>
      <c r="N2575" s="2">
        <f t="shared" si="3592"/>
        <v>0</v>
      </c>
      <c r="O2575" s="2">
        <f t="shared" si="3542"/>
        <v>0</v>
      </c>
      <c r="P2575" s="13"/>
      <c r="Q2575" s="13"/>
      <c r="R2575" s="13"/>
      <c r="S2575" s="13"/>
      <c r="T2575" s="13"/>
      <c r="U2575" s="13"/>
      <c r="V2575" s="13"/>
      <c r="W2575" s="13"/>
      <c r="X2575" s="13"/>
      <c r="Y2575" s="13"/>
      <c r="Z2575" s="13"/>
      <c r="AA2575" s="13"/>
      <c r="AB2575" s="13"/>
      <c r="AC2575" s="13"/>
      <c r="AD2575" s="13"/>
      <c r="AE2575" s="13"/>
      <c r="AF2575" s="13"/>
      <c r="AG2575" s="13"/>
    </row>
    <row r="2576" spans="1:33" s="14" customFormat="1" ht="15" customHeight="1">
      <c r="A2576" s="10">
        <v>42865</v>
      </c>
      <c r="B2576" s="3" t="s">
        <v>106</v>
      </c>
      <c r="C2576" s="15" t="s">
        <v>47</v>
      </c>
      <c r="D2576" s="15">
        <v>2600</v>
      </c>
      <c r="E2576" s="11">
        <v>500</v>
      </c>
      <c r="F2576" s="3" t="s">
        <v>8</v>
      </c>
      <c r="G2576" s="46">
        <v>75</v>
      </c>
      <c r="H2576" s="3">
        <v>75</v>
      </c>
      <c r="I2576" s="46">
        <v>0</v>
      </c>
      <c r="J2576" s="55">
        <v>0</v>
      </c>
      <c r="K2576" s="1">
        <f t="shared" ref="K2576" si="3596">(IF(F2576="SELL",G2576-H2576,IF(F2576="BUY",H2576-G2576)))*E2576</f>
        <v>0</v>
      </c>
      <c r="L2576" s="51">
        <v>0</v>
      </c>
      <c r="M2576" s="52">
        <f t="shared" si="3588"/>
        <v>0</v>
      </c>
      <c r="N2576" s="2">
        <f t="shared" si="3592"/>
        <v>0</v>
      </c>
      <c r="O2576" s="2">
        <f t="shared" si="3542"/>
        <v>0</v>
      </c>
      <c r="P2576" s="13"/>
      <c r="Q2576" s="13"/>
      <c r="R2576" s="13"/>
      <c r="S2576" s="13"/>
      <c r="T2576" s="13"/>
      <c r="U2576" s="13"/>
      <c r="V2576" s="13"/>
      <c r="W2576" s="13"/>
      <c r="X2576" s="13"/>
      <c r="Y2576" s="13"/>
      <c r="Z2576" s="13"/>
      <c r="AA2576" s="13"/>
      <c r="AB2576" s="13"/>
      <c r="AC2576" s="13"/>
      <c r="AD2576" s="13"/>
      <c r="AE2576" s="13"/>
      <c r="AF2576" s="13"/>
      <c r="AG2576" s="13"/>
    </row>
    <row r="2577" spans="1:33" s="14" customFormat="1" ht="15" customHeight="1">
      <c r="A2577" s="10">
        <v>42865</v>
      </c>
      <c r="B2577" s="3" t="s">
        <v>24</v>
      </c>
      <c r="C2577" s="15" t="s">
        <v>47</v>
      </c>
      <c r="D2577" s="15">
        <v>430</v>
      </c>
      <c r="E2577" s="11">
        <v>2000</v>
      </c>
      <c r="F2577" s="3" t="s">
        <v>8</v>
      </c>
      <c r="G2577" s="46">
        <v>12</v>
      </c>
      <c r="H2577" s="3">
        <v>12</v>
      </c>
      <c r="I2577" s="46">
        <v>0</v>
      </c>
      <c r="J2577" s="55">
        <v>0</v>
      </c>
      <c r="K2577" s="1">
        <f t="shared" ref="K2577" si="3597">(IF(F2577="SELL",G2577-H2577,IF(F2577="BUY",H2577-G2577)))*E2577</f>
        <v>0</v>
      </c>
      <c r="L2577" s="51">
        <v>0</v>
      </c>
      <c r="M2577" s="52">
        <f t="shared" si="3588"/>
        <v>0</v>
      </c>
      <c r="N2577" s="2">
        <f t="shared" si="3592"/>
        <v>0</v>
      </c>
      <c r="O2577" s="2">
        <f t="shared" si="3542"/>
        <v>0</v>
      </c>
      <c r="P2577" s="13"/>
      <c r="Q2577" s="13"/>
      <c r="R2577" s="13"/>
      <c r="S2577" s="13"/>
      <c r="T2577" s="13"/>
      <c r="U2577" s="13"/>
      <c r="V2577" s="13"/>
      <c r="W2577" s="13"/>
      <c r="X2577" s="13"/>
      <c r="Y2577" s="13"/>
      <c r="Z2577" s="13"/>
      <c r="AA2577" s="13"/>
      <c r="AB2577" s="13"/>
      <c r="AC2577" s="13"/>
      <c r="AD2577" s="13"/>
      <c r="AE2577" s="13"/>
      <c r="AF2577" s="13"/>
      <c r="AG2577" s="13"/>
    </row>
    <row r="2578" spans="1:33" s="14" customFormat="1" ht="15" customHeight="1">
      <c r="A2578" s="10">
        <v>42865</v>
      </c>
      <c r="B2578" s="3" t="s">
        <v>28</v>
      </c>
      <c r="C2578" s="15" t="s">
        <v>47</v>
      </c>
      <c r="D2578" s="15">
        <v>370</v>
      </c>
      <c r="E2578" s="11">
        <v>1700</v>
      </c>
      <c r="F2578" s="3" t="s">
        <v>8</v>
      </c>
      <c r="G2578" s="46">
        <v>3.6</v>
      </c>
      <c r="H2578" s="3">
        <v>4.5999999999999996</v>
      </c>
      <c r="I2578" s="46">
        <v>6</v>
      </c>
      <c r="J2578" s="55">
        <v>10</v>
      </c>
      <c r="K2578" s="1">
        <f t="shared" ref="K2578" si="3598">(IF(F2578="SELL",G2578-H2578,IF(F2578="BUY",H2578-G2578)))*E2578</f>
        <v>1699.9999999999993</v>
      </c>
      <c r="L2578" s="51">
        <f t="shared" ref="L2578" si="3599">(IF(F2578="SELL",IF(I2578="",0,H2578-I2578),IF(F2578="BUY",IF(I2578="",0,I2578-H2578))))*E2578</f>
        <v>2380.0000000000005</v>
      </c>
      <c r="M2578" s="52">
        <f t="shared" si="3588"/>
        <v>6800</v>
      </c>
      <c r="N2578" s="2">
        <f t="shared" si="3592"/>
        <v>6.4</v>
      </c>
      <c r="O2578" s="2">
        <f t="shared" si="3542"/>
        <v>10880</v>
      </c>
      <c r="P2578" s="13"/>
      <c r="Q2578" s="13"/>
      <c r="R2578" s="13"/>
      <c r="S2578" s="13"/>
      <c r="T2578" s="13"/>
      <c r="U2578" s="13"/>
      <c r="V2578" s="13"/>
      <c r="W2578" s="13"/>
      <c r="X2578" s="13"/>
      <c r="Y2578" s="13"/>
      <c r="Z2578" s="13"/>
      <c r="AA2578" s="13"/>
      <c r="AB2578" s="13"/>
      <c r="AC2578" s="13"/>
      <c r="AD2578" s="13"/>
      <c r="AE2578" s="13"/>
      <c r="AF2578" s="13"/>
      <c r="AG2578" s="13"/>
    </row>
    <row r="2579" spans="1:33" s="14" customFormat="1" ht="15" customHeight="1">
      <c r="A2579" s="10">
        <v>42865</v>
      </c>
      <c r="B2579" s="3" t="s">
        <v>83</v>
      </c>
      <c r="C2579" s="15" t="s">
        <v>47</v>
      </c>
      <c r="D2579" s="15">
        <v>22800</v>
      </c>
      <c r="E2579" s="11">
        <v>40</v>
      </c>
      <c r="F2579" s="3" t="s">
        <v>8</v>
      </c>
      <c r="G2579" s="46">
        <v>75</v>
      </c>
      <c r="H2579" s="3">
        <v>90</v>
      </c>
      <c r="I2579" s="46">
        <v>0</v>
      </c>
      <c r="J2579" s="55">
        <v>0</v>
      </c>
      <c r="K2579" s="1">
        <f t="shared" ref="K2579" si="3600">(IF(F2579="SELL",G2579-H2579,IF(F2579="BUY",H2579-G2579)))*E2579</f>
        <v>600</v>
      </c>
      <c r="L2579" s="51">
        <v>0</v>
      </c>
      <c r="M2579" s="52">
        <v>0</v>
      </c>
      <c r="N2579" s="2">
        <f t="shared" si="3592"/>
        <v>15</v>
      </c>
      <c r="O2579" s="2">
        <f t="shared" si="3542"/>
        <v>600</v>
      </c>
      <c r="P2579" s="13"/>
      <c r="Q2579" s="13"/>
      <c r="R2579" s="13"/>
      <c r="S2579" s="13"/>
      <c r="T2579" s="13"/>
      <c r="U2579" s="13"/>
      <c r="V2579" s="13"/>
      <c r="W2579" s="13"/>
      <c r="X2579" s="13"/>
      <c r="Y2579" s="13"/>
      <c r="Z2579" s="13"/>
      <c r="AA2579" s="13"/>
      <c r="AB2579" s="13"/>
      <c r="AC2579" s="13"/>
      <c r="AD2579" s="13"/>
      <c r="AE2579" s="13"/>
      <c r="AF2579" s="13"/>
      <c r="AG2579" s="13"/>
    </row>
    <row r="2580" spans="1:33" s="14" customFormat="1" ht="15" customHeight="1">
      <c r="A2580" s="10">
        <v>42865</v>
      </c>
      <c r="B2580" s="3" t="s">
        <v>14</v>
      </c>
      <c r="C2580" s="15" t="s">
        <v>47</v>
      </c>
      <c r="D2580" s="15">
        <v>420</v>
      </c>
      <c r="E2580" s="11">
        <v>1300</v>
      </c>
      <c r="F2580" s="3" t="s">
        <v>8</v>
      </c>
      <c r="G2580" s="46">
        <v>16</v>
      </c>
      <c r="H2580" s="3">
        <v>16.75</v>
      </c>
      <c r="I2580" s="46">
        <v>0</v>
      </c>
      <c r="J2580" s="55">
        <v>0</v>
      </c>
      <c r="K2580" s="1">
        <f t="shared" ref="K2580" si="3601">(IF(F2580="SELL",G2580-H2580,IF(F2580="BUY",H2580-G2580)))*E2580</f>
        <v>975</v>
      </c>
      <c r="L2580" s="51">
        <v>0</v>
      </c>
      <c r="M2580" s="52">
        <v>0</v>
      </c>
      <c r="N2580" s="2">
        <f t="shared" si="3592"/>
        <v>0.75</v>
      </c>
      <c r="O2580" s="2">
        <f t="shared" si="3542"/>
        <v>975</v>
      </c>
      <c r="P2580" s="13"/>
      <c r="Q2580" s="13"/>
      <c r="R2580" s="13"/>
      <c r="S2580" s="13"/>
      <c r="T2580" s="13"/>
      <c r="U2580" s="13"/>
      <c r="V2580" s="13"/>
      <c r="W2580" s="13"/>
      <c r="X2580" s="13"/>
      <c r="Y2580" s="13"/>
      <c r="Z2580" s="13"/>
      <c r="AA2580" s="13"/>
      <c r="AB2580" s="13"/>
      <c r="AC2580" s="13"/>
      <c r="AD2580" s="13"/>
      <c r="AE2580" s="13"/>
      <c r="AF2580" s="13"/>
      <c r="AG2580" s="13"/>
    </row>
    <row r="2581" spans="1:33" s="14" customFormat="1" ht="15" customHeight="1">
      <c r="A2581" s="10">
        <v>42864</v>
      </c>
      <c r="B2581" s="3" t="s">
        <v>23</v>
      </c>
      <c r="C2581" s="15" t="s">
        <v>47</v>
      </c>
      <c r="D2581" s="15">
        <v>600</v>
      </c>
      <c r="E2581" s="11">
        <v>1300</v>
      </c>
      <c r="F2581" s="3" t="s">
        <v>8</v>
      </c>
      <c r="G2581" s="46">
        <v>17</v>
      </c>
      <c r="H2581" s="3">
        <v>19</v>
      </c>
      <c r="I2581" s="46">
        <v>0</v>
      </c>
      <c r="J2581" s="55">
        <v>0</v>
      </c>
      <c r="K2581" s="1">
        <f t="shared" ref="K2581" si="3602">(IF(F2581="SELL",G2581-H2581,IF(F2581="BUY",H2581-G2581)))*E2581</f>
        <v>2600</v>
      </c>
      <c r="L2581" s="51">
        <v>0</v>
      </c>
      <c r="M2581" s="52">
        <v>0</v>
      </c>
      <c r="N2581" s="2">
        <f t="shared" si="3592"/>
        <v>2</v>
      </c>
      <c r="O2581" s="2">
        <f t="shared" si="3542"/>
        <v>2600</v>
      </c>
      <c r="P2581" s="13"/>
      <c r="Q2581" s="13"/>
      <c r="R2581" s="13"/>
      <c r="S2581" s="13"/>
      <c r="T2581" s="13"/>
      <c r="U2581" s="13"/>
      <c r="V2581" s="13"/>
      <c r="W2581" s="13"/>
      <c r="X2581" s="13"/>
      <c r="Y2581" s="13"/>
      <c r="Z2581" s="13"/>
      <c r="AA2581" s="13"/>
      <c r="AB2581" s="13"/>
      <c r="AC2581" s="13"/>
      <c r="AD2581" s="13"/>
      <c r="AE2581" s="13"/>
      <c r="AF2581" s="13"/>
      <c r="AG2581" s="13"/>
    </row>
    <row r="2582" spans="1:33" s="14" customFormat="1" ht="15" customHeight="1">
      <c r="A2582" s="10">
        <v>42864</v>
      </c>
      <c r="B2582" s="3" t="s">
        <v>25</v>
      </c>
      <c r="C2582" s="15" t="s">
        <v>47</v>
      </c>
      <c r="D2582" s="15">
        <v>180</v>
      </c>
      <c r="E2582" s="11">
        <v>5000</v>
      </c>
      <c r="F2582" s="3" t="s">
        <v>8</v>
      </c>
      <c r="G2582" s="46">
        <v>5</v>
      </c>
      <c r="H2582" s="3">
        <v>5.3</v>
      </c>
      <c r="I2582" s="46">
        <v>0</v>
      </c>
      <c r="J2582" s="55">
        <v>0</v>
      </c>
      <c r="K2582" s="1">
        <f t="shared" ref="K2582" si="3603">(IF(F2582="SELL",G2582-H2582,IF(F2582="BUY",H2582-G2582)))*E2582</f>
        <v>1499.9999999999991</v>
      </c>
      <c r="L2582" s="51">
        <v>0</v>
      </c>
      <c r="M2582" s="52">
        <v>0</v>
      </c>
      <c r="N2582" s="2">
        <f t="shared" si="3592"/>
        <v>0.29999999999999982</v>
      </c>
      <c r="O2582" s="2">
        <f t="shared" si="3542"/>
        <v>1499.9999999999991</v>
      </c>
      <c r="P2582" s="13"/>
      <c r="Q2582" s="13"/>
      <c r="R2582" s="13"/>
      <c r="S2582" s="13"/>
      <c r="T2582" s="13"/>
      <c r="U2582" s="13"/>
      <c r="V2582" s="13"/>
      <c r="W2582" s="13"/>
      <c r="X2582" s="13"/>
      <c r="Y2582" s="13"/>
      <c r="Z2582" s="13"/>
      <c r="AA2582" s="13"/>
      <c r="AB2582" s="13"/>
      <c r="AC2582" s="13"/>
      <c r="AD2582" s="13"/>
      <c r="AE2582" s="13"/>
      <c r="AF2582" s="13"/>
      <c r="AG2582" s="13"/>
    </row>
    <row r="2583" spans="1:33" s="14" customFormat="1" ht="15" customHeight="1">
      <c r="A2583" s="10">
        <v>42864</v>
      </c>
      <c r="B2583" s="3" t="s">
        <v>16</v>
      </c>
      <c r="C2583" s="15" t="s">
        <v>47</v>
      </c>
      <c r="D2583" s="15">
        <v>350</v>
      </c>
      <c r="E2583" s="11">
        <v>2500</v>
      </c>
      <c r="F2583" s="3" t="s">
        <v>8</v>
      </c>
      <c r="G2583" s="46">
        <v>9</v>
      </c>
      <c r="H2583" s="3">
        <v>9.6</v>
      </c>
      <c r="I2583" s="46">
        <v>0</v>
      </c>
      <c r="J2583" s="55">
        <v>0</v>
      </c>
      <c r="K2583" s="1">
        <f t="shared" ref="K2583:K2584" si="3604">(IF(F2583="SELL",G2583-H2583,IF(F2583="BUY",H2583-G2583)))*E2583</f>
        <v>1499.9999999999991</v>
      </c>
      <c r="L2583" s="51">
        <v>0</v>
      </c>
      <c r="M2583" s="52">
        <v>0</v>
      </c>
      <c r="N2583" s="2">
        <f t="shared" si="3592"/>
        <v>0.59999999999999964</v>
      </c>
      <c r="O2583" s="2">
        <f t="shared" si="3542"/>
        <v>1499.9999999999991</v>
      </c>
      <c r="P2583" s="13"/>
      <c r="Q2583" s="13"/>
      <c r="R2583" s="13"/>
      <c r="S2583" s="13"/>
      <c r="T2583" s="13"/>
      <c r="U2583" s="13"/>
      <c r="V2583" s="13"/>
      <c r="W2583" s="13"/>
      <c r="X2583" s="13"/>
      <c r="Y2583" s="13"/>
      <c r="Z2583" s="13"/>
      <c r="AA2583" s="13"/>
      <c r="AB2583" s="13"/>
      <c r="AC2583" s="13"/>
      <c r="AD2583" s="13"/>
      <c r="AE2583" s="13"/>
      <c r="AF2583" s="13"/>
      <c r="AG2583" s="13"/>
    </row>
    <row r="2584" spans="1:33" s="14" customFormat="1" ht="15" customHeight="1">
      <c r="A2584" s="10">
        <v>42864</v>
      </c>
      <c r="B2584" s="3" t="s">
        <v>56</v>
      </c>
      <c r="C2584" s="15" t="s">
        <v>47</v>
      </c>
      <c r="D2584" s="15">
        <v>22800</v>
      </c>
      <c r="E2584" s="11">
        <v>40</v>
      </c>
      <c r="F2584" s="3" t="s">
        <v>8</v>
      </c>
      <c r="G2584" s="46">
        <v>90</v>
      </c>
      <c r="H2584" s="3">
        <v>105</v>
      </c>
      <c r="I2584" s="46">
        <v>0</v>
      </c>
      <c r="J2584" s="55">
        <v>0</v>
      </c>
      <c r="K2584" s="1">
        <f t="shared" si="3604"/>
        <v>600</v>
      </c>
      <c r="L2584" s="51">
        <v>0</v>
      </c>
      <c r="M2584" s="52">
        <v>0</v>
      </c>
      <c r="N2584" s="2">
        <f t="shared" si="3592"/>
        <v>15</v>
      </c>
      <c r="O2584" s="2">
        <f t="shared" si="3542"/>
        <v>600</v>
      </c>
      <c r="P2584" s="13"/>
      <c r="Q2584" s="13"/>
      <c r="R2584" s="13"/>
      <c r="S2584" s="13"/>
      <c r="T2584" s="13"/>
      <c r="U2584" s="13"/>
      <c r="V2584" s="13"/>
      <c r="W2584" s="13"/>
      <c r="X2584" s="13"/>
      <c r="Y2584" s="13"/>
      <c r="Z2584" s="13"/>
      <c r="AA2584" s="13"/>
      <c r="AB2584" s="13"/>
      <c r="AC2584" s="13"/>
      <c r="AD2584" s="13"/>
      <c r="AE2584" s="13"/>
      <c r="AF2584" s="13"/>
      <c r="AG2584" s="13"/>
    </row>
    <row r="2585" spans="1:33" s="14" customFormat="1" ht="15" customHeight="1">
      <c r="A2585" s="10">
        <v>42864</v>
      </c>
      <c r="B2585" s="3" t="s">
        <v>108</v>
      </c>
      <c r="C2585" s="15" t="s">
        <v>46</v>
      </c>
      <c r="D2585" s="15">
        <v>240</v>
      </c>
      <c r="E2585" s="11">
        <v>3000</v>
      </c>
      <c r="F2585" s="3" t="s">
        <v>8</v>
      </c>
      <c r="G2585" s="46">
        <v>8</v>
      </c>
      <c r="H2585" s="3">
        <v>8.5</v>
      </c>
      <c r="I2585" s="46">
        <v>9.5</v>
      </c>
      <c r="J2585" s="55">
        <v>0</v>
      </c>
      <c r="K2585" s="1">
        <f t="shared" ref="K2585" si="3605">(IF(F2585="SELL",G2585-H2585,IF(F2585="BUY",H2585-G2585)))*E2585</f>
        <v>1500</v>
      </c>
      <c r="L2585" s="51">
        <f t="shared" ref="L2585" si="3606">(IF(F2585="SELL",IF(I2585="",0,H2585-I2585),IF(F2585="BUY",IF(I2585="",0,I2585-H2585))))*E2585</f>
        <v>3000</v>
      </c>
      <c r="M2585" s="52">
        <v>0</v>
      </c>
      <c r="N2585" s="2">
        <f t="shared" si="3592"/>
        <v>1.5</v>
      </c>
      <c r="O2585" s="2">
        <f t="shared" si="3542"/>
        <v>4500</v>
      </c>
      <c r="P2585" s="13"/>
      <c r="Q2585" s="13"/>
      <c r="R2585" s="13"/>
      <c r="S2585" s="13"/>
      <c r="T2585" s="13"/>
      <c r="U2585" s="13"/>
      <c r="V2585" s="13"/>
      <c r="W2585" s="13"/>
      <c r="X2585" s="13"/>
      <c r="Y2585" s="13"/>
      <c r="Z2585" s="13"/>
      <c r="AA2585" s="13"/>
      <c r="AB2585" s="13"/>
      <c r="AC2585" s="13"/>
      <c r="AD2585" s="13"/>
      <c r="AE2585" s="13"/>
      <c r="AF2585" s="13"/>
      <c r="AG2585" s="13"/>
    </row>
    <row r="2586" spans="1:33" s="14" customFormat="1" ht="15" customHeight="1">
      <c r="A2586" s="10">
        <v>42864</v>
      </c>
      <c r="B2586" s="3" t="s">
        <v>60</v>
      </c>
      <c r="C2586" s="15" t="s">
        <v>47</v>
      </c>
      <c r="D2586" s="15">
        <v>230</v>
      </c>
      <c r="E2586" s="11">
        <v>3500</v>
      </c>
      <c r="F2586" s="3" t="s">
        <v>8</v>
      </c>
      <c r="G2586" s="46">
        <v>8</v>
      </c>
      <c r="H2586" s="3">
        <v>8.4</v>
      </c>
      <c r="I2586" s="46">
        <v>0</v>
      </c>
      <c r="J2586" s="55">
        <v>0</v>
      </c>
      <c r="K2586" s="1">
        <f t="shared" ref="K2586" si="3607">(IF(F2586="SELL",G2586-H2586,IF(F2586="BUY",H2586-G2586)))*E2586</f>
        <v>1400.0000000000011</v>
      </c>
      <c r="L2586" s="51">
        <v>0</v>
      </c>
      <c r="M2586" s="52">
        <v>0</v>
      </c>
      <c r="N2586" s="2">
        <f t="shared" si="3592"/>
        <v>0.4000000000000003</v>
      </c>
      <c r="O2586" s="2">
        <f t="shared" si="3542"/>
        <v>1400.0000000000011</v>
      </c>
      <c r="P2586" s="13"/>
      <c r="Q2586" s="13"/>
      <c r="R2586" s="13"/>
      <c r="S2586" s="13"/>
      <c r="T2586" s="13"/>
      <c r="U2586" s="13"/>
      <c r="V2586" s="13"/>
      <c r="W2586" s="13"/>
      <c r="X2586" s="13"/>
      <c r="Y2586" s="13"/>
      <c r="Z2586" s="13"/>
      <c r="AA2586" s="13"/>
      <c r="AB2586" s="13"/>
      <c r="AC2586" s="13"/>
      <c r="AD2586" s="13"/>
      <c r="AE2586" s="13"/>
      <c r="AF2586" s="13"/>
      <c r="AG2586" s="13"/>
    </row>
    <row r="2587" spans="1:33" s="14" customFormat="1" ht="15" customHeight="1">
      <c r="A2587" s="10">
        <v>42864</v>
      </c>
      <c r="B2587" s="3" t="s">
        <v>34</v>
      </c>
      <c r="C2587" s="15" t="s">
        <v>47</v>
      </c>
      <c r="D2587" s="15">
        <v>185</v>
      </c>
      <c r="E2587" s="11">
        <v>3500</v>
      </c>
      <c r="F2587" s="3" t="s">
        <v>8</v>
      </c>
      <c r="G2587" s="46">
        <v>8</v>
      </c>
      <c r="H2587" s="3">
        <v>8.4</v>
      </c>
      <c r="I2587" s="46">
        <v>0</v>
      </c>
      <c r="J2587" s="55">
        <v>0</v>
      </c>
      <c r="K2587" s="1">
        <f t="shared" ref="K2587:K2588" si="3608">(IF(F2587="SELL",G2587-H2587,IF(F2587="BUY",H2587-G2587)))*E2587</f>
        <v>1400.0000000000011</v>
      </c>
      <c r="L2587" s="51">
        <v>0</v>
      </c>
      <c r="M2587" s="52">
        <v>0</v>
      </c>
      <c r="N2587" s="2">
        <f t="shared" si="3592"/>
        <v>0.4000000000000003</v>
      </c>
      <c r="O2587" s="2">
        <f t="shared" si="3542"/>
        <v>1400.0000000000011</v>
      </c>
      <c r="P2587" s="13"/>
      <c r="Q2587" s="13"/>
      <c r="R2587" s="13"/>
      <c r="S2587" s="13"/>
      <c r="T2587" s="13"/>
      <c r="U2587" s="13"/>
      <c r="V2587" s="13"/>
      <c r="W2587" s="13"/>
      <c r="X2587" s="13"/>
      <c r="Y2587" s="13"/>
      <c r="Z2587" s="13"/>
      <c r="AA2587" s="13"/>
      <c r="AB2587" s="13"/>
      <c r="AC2587" s="13"/>
      <c r="AD2587" s="13"/>
      <c r="AE2587" s="13"/>
      <c r="AF2587" s="13"/>
      <c r="AG2587" s="13"/>
    </row>
    <row r="2588" spans="1:33" s="14" customFormat="1" ht="15" customHeight="1">
      <c r="A2588" s="10">
        <v>42864</v>
      </c>
      <c r="B2588" s="3" t="s">
        <v>56</v>
      </c>
      <c r="C2588" s="15" t="s">
        <v>47</v>
      </c>
      <c r="D2588" s="15">
        <v>22700</v>
      </c>
      <c r="E2588" s="11">
        <v>40</v>
      </c>
      <c r="F2588" s="3" t="s">
        <v>8</v>
      </c>
      <c r="G2588" s="46">
        <v>95</v>
      </c>
      <c r="H2588" s="3">
        <v>110</v>
      </c>
      <c r="I2588" s="46">
        <v>125</v>
      </c>
      <c r="J2588" s="55">
        <v>150</v>
      </c>
      <c r="K2588" s="1">
        <f t="shared" si="3608"/>
        <v>600</v>
      </c>
      <c r="L2588" s="51">
        <f t="shared" ref="L2588" si="3609">(IF(F2588="SELL",IF(I2588="",0,H2588-I2588),IF(F2588="BUY",IF(I2588="",0,I2588-H2588))))*E2588</f>
        <v>600</v>
      </c>
      <c r="M2588" s="52">
        <f>(IF(F2588="SELL",IF(J2588="",0,I2588-J2588),IF(F2588="BUY",IF(J2588="",0,(J2588-I2588)))))*E2588</f>
        <v>1000</v>
      </c>
      <c r="N2588" s="2">
        <f t="shared" si="3592"/>
        <v>55</v>
      </c>
      <c r="O2588" s="2">
        <f t="shared" si="3542"/>
        <v>2200</v>
      </c>
      <c r="P2588" s="13"/>
      <c r="Q2588" s="13"/>
      <c r="R2588" s="13"/>
      <c r="S2588" s="13"/>
      <c r="T2588" s="13"/>
      <c r="U2588" s="13"/>
      <c r="V2588" s="13"/>
      <c r="W2588" s="13"/>
      <c r="X2588" s="13"/>
      <c r="Y2588" s="13"/>
      <c r="Z2588" s="13"/>
      <c r="AA2588" s="13"/>
      <c r="AB2588" s="13"/>
      <c r="AC2588" s="13"/>
      <c r="AD2588" s="13"/>
      <c r="AE2588" s="13"/>
      <c r="AF2588" s="13"/>
      <c r="AG2588" s="13"/>
    </row>
    <row r="2589" spans="1:33" s="14" customFormat="1" ht="15" customHeight="1">
      <c r="A2589" s="10">
        <v>42863</v>
      </c>
      <c r="B2589" s="3" t="s">
        <v>35</v>
      </c>
      <c r="C2589" s="15" t="s">
        <v>46</v>
      </c>
      <c r="D2589" s="15">
        <v>700</v>
      </c>
      <c r="E2589" s="11">
        <v>1100</v>
      </c>
      <c r="F2589" s="3" t="s">
        <v>8</v>
      </c>
      <c r="G2589" s="46">
        <v>8.5</v>
      </c>
      <c r="H2589" s="3">
        <v>9.6999999999999993</v>
      </c>
      <c r="I2589" s="46">
        <v>11</v>
      </c>
      <c r="J2589" s="55">
        <v>0</v>
      </c>
      <c r="K2589" s="1">
        <f t="shared" ref="K2589" si="3610">(IF(F2589="SELL",G2589-H2589,IF(F2589="BUY",H2589-G2589)))*E2589</f>
        <v>1319.9999999999993</v>
      </c>
      <c r="L2589" s="51">
        <v>0</v>
      </c>
      <c r="M2589" s="52">
        <v>0</v>
      </c>
      <c r="N2589" s="2">
        <f t="shared" si="3592"/>
        <v>1.1999999999999993</v>
      </c>
      <c r="O2589" s="2">
        <f t="shared" si="3542"/>
        <v>1319.9999999999993</v>
      </c>
      <c r="P2589" s="13"/>
      <c r="Q2589" s="13"/>
      <c r="R2589" s="13"/>
      <c r="S2589" s="13"/>
      <c r="T2589" s="13"/>
      <c r="U2589" s="13"/>
      <c r="V2589" s="13"/>
      <c r="W2589" s="13"/>
      <c r="X2589" s="13"/>
      <c r="Y2589" s="13"/>
      <c r="Z2589" s="13"/>
      <c r="AA2589" s="13"/>
      <c r="AB2589" s="13"/>
      <c r="AC2589" s="13"/>
      <c r="AD2589" s="13"/>
      <c r="AE2589" s="13"/>
      <c r="AF2589" s="13"/>
      <c r="AG2589" s="13"/>
    </row>
    <row r="2590" spans="1:33" s="14" customFormat="1" ht="15" customHeight="1">
      <c r="A2590" s="10">
        <v>42863</v>
      </c>
      <c r="B2590" s="3" t="s">
        <v>107</v>
      </c>
      <c r="C2590" s="15" t="s">
        <v>47</v>
      </c>
      <c r="D2590" s="15">
        <v>640</v>
      </c>
      <c r="E2590" s="11">
        <v>700</v>
      </c>
      <c r="F2590" s="3" t="s">
        <v>8</v>
      </c>
      <c r="G2590" s="46">
        <v>12.5</v>
      </c>
      <c r="H2590" s="3">
        <v>14.5</v>
      </c>
      <c r="I2590" s="46">
        <v>0</v>
      </c>
      <c r="J2590" s="55">
        <v>0</v>
      </c>
      <c r="K2590" s="1">
        <f t="shared" ref="K2590" si="3611">(IF(F2590="SELL",G2590-H2590,IF(F2590="BUY",H2590-G2590)))*E2590</f>
        <v>1400</v>
      </c>
      <c r="L2590" s="51">
        <v>0</v>
      </c>
      <c r="M2590" s="52">
        <f t="shared" ref="M2590:M2599" si="3612">(IF(F2590="SELL",IF(J2590="",0,I2590-J2590),IF(F2590="BUY",IF(J2590="",0,(J2590-I2590)))))*E2590</f>
        <v>0</v>
      </c>
      <c r="N2590" s="2">
        <f t="shared" si="3592"/>
        <v>2</v>
      </c>
      <c r="O2590" s="2">
        <f t="shared" si="3542"/>
        <v>1400</v>
      </c>
      <c r="P2590" s="13"/>
      <c r="Q2590" s="13"/>
      <c r="R2590" s="13"/>
      <c r="S2590" s="13"/>
      <c r="T2590" s="13"/>
      <c r="U2590" s="13"/>
      <c r="V2590" s="13"/>
      <c r="W2590" s="13"/>
      <c r="X2590" s="13"/>
      <c r="Y2590" s="13"/>
      <c r="Z2590" s="13"/>
      <c r="AA2590" s="13"/>
      <c r="AB2590" s="13"/>
      <c r="AC2590" s="13"/>
      <c r="AD2590" s="13"/>
      <c r="AE2590" s="13"/>
      <c r="AF2590" s="13"/>
      <c r="AG2590" s="13"/>
    </row>
    <row r="2591" spans="1:33" s="14" customFormat="1" ht="15" customHeight="1">
      <c r="A2591" s="10">
        <v>42863</v>
      </c>
      <c r="B2591" s="3" t="s">
        <v>93</v>
      </c>
      <c r="C2591" s="15" t="s">
        <v>47</v>
      </c>
      <c r="D2591" s="15">
        <v>170</v>
      </c>
      <c r="E2591" s="11">
        <v>7000</v>
      </c>
      <c r="F2591" s="3" t="s">
        <v>8</v>
      </c>
      <c r="G2591" s="46">
        <v>5</v>
      </c>
      <c r="H2591" s="3">
        <v>5</v>
      </c>
      <c r="I2591" s="46">
        <v>0</v>
      </c>
      <c r="J2591" s="55">
        <v>0</v>
      </c>
      <c r="K2591" s="1">
        <f t="shared" ref="K2591" si="3613">(IF(F2591="SELL",G2591-H2591,IF(F2591="BUY",H2591-G2591)))*E2591</f>
        <v>0</v>
      </c>
      <c r="L2591" s="51">
        <v>0</v>
      </c>
      <c r="M2591" s="52">
        <f t="shared" si="3612"/>
        <v>0</v>
      </c>
      <c r="N2591" s="2">
        <f t="shared" si="3592"/>
        <v>0</v>
      </c>
      <c r="O2591" s="2">
        <f t="shared" si="3542"/>
        <v>0</v>
      </c>
      <c r="P2591" s="13"/>
      <c r="Q2591" s="13"/>
      <c r="R2591" s="13"/>
      <c r="S2591" s="13"/>
      <c r="T2591" s="13"/>
      <c r="U2591" s="13"/>
      <c r="V2591" s="13"/>
      <c r="W2591" s="13"/>
      <c r="X2591" s="13"/>
      <c r="Y2591" s="13"/>
      <c r="Z2591" s="13"/>
      <c r="AA2591" s="13"/>
      <c r="AB2591" s="13"/>
      <c r="AC2591" s="13"/>
      <c r="AD2591" s="13"/>
      <c r="AE2591" s="13"/>
      <c r="AF2591" s="13"/>
      <c r="AG2591" s="13"/>
    </row>
    <row r="2592" spans="1:33" s="14" customFormat="1" ht="15" customHeight="1">
      <c r="A2592" s="10">
        <v>42863</v>
      </c>
      <c r="B2592" s="3" t="s">
        <v>30</v>
      </c>
      <c r="C2592" s="15" t="s">
        <v>47</v>
      </c>
      <c r="D2592" s="15">
        <v>305</v>
      </c>
      <c r="E2592" s="11">
        <v>2500</v>
      </c>
      <c r="F2592" s="3" t="s">
        <v>8</v>
      </c>
      <c r="G2592" s="46">
        <v>9.4</v>
      </c>
      <c r="H2592" s="3">
        <v>10</v>
      </c>
      <c r="I2592" s="46">
        <v>0</v>
      </c>
      <c r="J2592" s="55">
        <v>0</v>
      </c>
      <c r="K2592" s="1">
        <f t="shared" ref="K2592" si="3614">(IF(F2592="SELL",G2592-H2592,IF(F2592="BUY",H2592-G2592)))*E2592</f>
        <v>1499.9999999999991</v>
      </c>
      <c r="L2592" s="51">
        <v>0</v>
      </c>
      <c r="M2592" s="52">
        <f t="shared" si="3612"/>
        <v>0</v>
      </c>
      <c r="N2592" s="2">
        <f t="shared" si="3592"/>
        <v>0.59999999999999964</v>
      </c>
      <c r="O2592" s="2">
        <f t="shared" ref="O2592:O2655" si="3615">N2592*E2592</f>
        <v>1499.9999999999991</v>
      </c>
      <c r="P2592" s="13"/>
      <c r="Q2592" s="13"/>
      <c r="R2592" s="13"/>
      <c r="S2592" s="13"/>
      <c r="T2592" s="13"/>
      <c r="U2592" s="13"/>
      <c r="V2592" s="13"/>
      <c r="W2592" s="13"/>
      <c r="X2592" s="13"/>
      <c r="Y2592" s="13"/>
      <c r="Z2592" s="13"/>
      <c r="AA2592" s="13"/>
      <c r="AB2592" s="13"/>
      <c r="AC2592" s="13"/>
      <c r="AD2592" s="13"/>
      <c r="AE2592" s="13"/>
      <c r="AF2592" s="13"/>
      <c r="AG2592" s="13"/>
    </row>
    <row r="2593" spans="1:33" s="14" customFormat="1" ht="15" customHeight="1">
      <c r="A2593" s="10">
        <v>42863</v>
      </c>
      <c r="B2593" s="3" t="s">
        <v>83</v>
      </c>
      <c r="C2593" s="15" t="s">
        <v>46</v>
      </c>
      <c r="D2593" s="15">
        <v>22600</v>
      </c>
      <c r="E2593" s="11">
        <v>40</v>
      </c>
      <c r="F2593" s="3" t="s">
        <v>8</v>
      </c>
      <c r="G2593" s="46">
        <v>105</v>
      </c>
      <c r="H2593" s="3">
        <v>120</v>
      </c>
      <c r="I2593" s="46">
        <v>135</v>
      </c>
      <c r="J2593" s="55">
        <v>150</v>
      </c>
      <c r="K2593" s="1">
        <f t="shared" ref="K2593" si="3616">(IF(F2593="SELL",G2593-H2593,IF(F2593="BUY",H2593-G2593)))*E2593</f>
        <v>600</v>
      </c>
      <c r="L2593" s="51">
        <f t="shared" ref="L2593" si="3617">(IF(F2593="SELL",IF(I2593="",0,H2593-I2593),IF(F2593="BUY",IF(I2593="",0,I2593-H2593))))*E2593</f>
        <v>600</v>
      </c>
      <c r="M2593" s="52">
        <f t="shared" si="3612"/>
        <v>600</v>
      </c>
      <c r="N2593" s="2">
        <f t="shared" si="3592"/>
        <v>45</v>
      </c>
      <c r="O2593" s="2">
        <f t="shared" si="3615"/>
        <v>1800</v>
      </c>
      <c r="P2593" s="13"/>
      <c r="Q2593" s="13"/>
      <c r="R2593" s="13"/>
      <c r="S2593" s="13"/>
      <c r="T2593" s="13"/>
      <c r="U2593" s="13"/>
      <c r="V2593" s="13"/>
      <c r="W2593" s="13"/>
      <c r="X2593" s="13"/>
      <c r="Y2593" s="13"/>
      <c r="Z2593" s="13"/>
      <c r="AA2593" s="13"/>
      <c r="AB2593" s="13"/>
      <c r="AC2593" s="13"/>
      <c r="AD2593" s="13"/>
      <c r="AE2593" s="13"/>
      <c r="AF2593" s="13"/>
      <c r="AG2593" s="13"/>
    </row>
    <row r="2594" spans="1:33" s="14" customFormat="1" ht="15" customHeight="1">
      <c r="A2594" s="10">
        <v>42860</v>
      </c>
      <c r="B2594" s="3" t="s">
        <v>22</v>
      </c>
      <c r="C2594" s="15" t="s">
        <v>47</v>
      </c>
      <c r="D2594" s="15">
        <v>190</v>
      </c>
      <c r="E2594" s="11">
        <v>5000</v>
      </c>
      <c r="F2594" s="3" t="s">
        <v>8</v>
      </c>
      <c r="G2594" s="46">
        <v>8</v>
      </c>
      <c r="H2594" s="3">
        <v>8.3000000000000007</v>
      </c>
      <c r="I2594" s="46">
        <v>0</v>
      </c>
      <c r="J2594" s="55">
        <v>0</v>
      </c>
      <c r="K2594" s="1">
        <f t="shared" ref="K2594" si="3618">(IF(F2594="SELL",G2594-H2594,IF(F2594="BUY",H2594-G2594)))*E2594</f>
        <v>1500.0000000000036</v>
      </c>
      <c r="L2594" s="51">
        <v>0</v>
      </c>
      <c r="M2594" s="52">
        <f t="shared" si="3612"/>
        <v>0</v>
      </c>
      <c r="N2594" s="2">
        <f t="shared" si="3592"/>
        <v>0.30000000000000071</v>
      </c>
      <c r="O2594" s="2">
        <f t="shared" si="3615"/>
        <v>1500.0000000000036</v>
      </c>
      <c r="P2594" s="13"/>
      <c r="Q2594" s="13"/>
      <c r="R2594" s="13"/>
      <c r="S2594" s="13"/>
      <c r="T2594" s="13"/>
      <c r="U2594" s="13"/>
      <c r="V2594" s="13"/>
      <c r="W2594" s="13"/>
      <c r="X2594" s="13"/>
      <c r="Y2594" s="13"/>
      <c r="Z2594" s="13"/>
      <c r="AA2594" s="13"/>
      <c r="AB2594" s="13"/>
      <c r="AC2594" s="13"/>
      <c r="AD2594" s="13"/>
      <c r="AE2594" s="13"/>
      <c r="AF2594" s="13"/>
      <c r="AG2594" s="13"/>
    </row>
    <row r="2595" spans="1:33" s="14" customFormat="1" ht="15" customHeight="1">
      <c r="A2595" s="10">
        <v>42860</v>
      </c>
      <c r="B2595" s="3" t="s">
        <v>106</v>
      </c>
      <c r="C2595" s="15" t="s">
        <v>47</v>
      </c>
      <c r="D2595" s="15">
        <v>200</v>
      </c>
      <c r="E2595" s="11">
        <v>500</v>
      </c>
      <c r="F2595" s="3" t="s">
        <v>8</v>
      </c>
      <c r="G2595" s="46">
        <v>60</v>
      </c>
      <c r="H2595" s="3">
        <v>55</v>
      </c>
      <c r="I2595" s="46">
        <v>0</v>
      </c>
      <c r="J2595" s="55">
        <v>0</v>
      </c>
      <c r="K2595" s="1">
        <f t="shared" ref="K2595" si="3619">(IF(F2595="SELL",G2595-H2595,IF(F2595="BUY",H2595-G2595)))*E2595</f>
        <v>-2500</v>
      </c>
      <c r="L2595" s="51">
        <v>0</v>
      </c>
      <c r="M2595" s="52">
        <f t="shared" si="3612"/>
        <v>0</v>
      </c>
      <c r="N2595" s="2">
        <f t="shared" si="3592"/>
        <v>-5</v>
      </c>
      <c r="O2595" s="2">
        <f t="shared" si="3615"/>
        <v>-2500</v>
      </c>
      <c r="P2595" s="13"/>
      <c r="Q2595" s="13"/>
      <c r="R2595" s="13"/>
      <c r="S2595" s="13"/>
      <c r="T2595" s="13"/>
      <c r="U2595" s="13"/>
      <c r="V2595" s="13"/>
      <c r="W2595" s="13"/>
      <c r="X2595" s="13"/>
      <c r="Y2595" s="13"/>
      <c r="Z2595" s="13"/>
      <c r="AA2595" s="13"/>
      <c r="AB2595" s="13"/>
      <c r="AC2595" s="13"/>
      <c r="AD2595" s="13"/>
      <c r="AE2595" s="13"/>
      <c r="AF2595" s="13"/>
      <c r="AG2595" s="13"/>
    </row>
    <row r="2596" spans="1:33" s="14" customFormat="1" ht="15" customHeight="1">
      <c r="A2596" s="10">
        <v>42860</v>
      </c>
      <c r="B2596" s="3" t="s">
        <v>86</v>
      </c>
      <c r="C2596" s="15" t="s">
        <v>47</v>
      </c>
      <c r="D2596" s="15">
        <v>1350</v>
      </c>
      <c r="E2596" s="11">
        <v>500</v>
      </c>
      <c r="F2596" s="3" t="s">
        <v>8</v>
      </c>
      <c r="G2596" s="46">
        <v>22</v>
      </c>
      <c r="H2596" s="3">
        <v>22</v>
      </c>
      <c r="I2596" s="46">
        <v>0</v>
      </c>
      <c r="J2596" s="55">
        <v>0</v>
      </c>
      <c r="K2596" s="1">
        <f t="shared" ref="K2596" si="3620">(IF(F2596="SELL",G2596-H2596,IF(F2596="BUY",H2596-G2596)))*E2596</f>
        <v>0</v>
      </c>
      <c r="L2596" s="51">
        <v>0</v>
      </c>
      <c r="M2596" s="52">
        <f t="shared" si="3612"/>
        <v>0</v>
      </c>
      <c r="N2596" s="2">
        <f t="shared" si="3592"/>
        <v>0</v>
      </c>
      <c r="O2596" s="2">
        <f t="shared" si="3615"/>
        <v>0</v>
      </c>
      <c r="P2596" s="13"/>
      <c r="Q2596" s="13"/>
      <c r="R2596" s="13"/>
      <c r="S2596" s="13"/>
      <c r="T2596" s="13"/>
      <c r="U2596" s="13"/>
      <c r="V2596" s="13"/>
      <c r="W2596" s="13"/>
      <c r="X2596" s="13"/>
      <c r="Y2596" s="13"/>
      <c r="Z2596" s="13"/>
      <c r="AA2596" s="13"/>
      <c r="AB2596" s="13"/>
      <c r="AC2596" s="13"/>
      <c r="AD2596" s="13"/>
      <c r="AE2596" s="13"/>
      <c r="AF2596" s="13"/>
      <c r="AG2596" s="13"/>
    </row>
    <row r="2597" spans="1:33" s="14" customFormat="1" ht="15" customHeight="1">
      <c r="A2597" s="10">
        <v>42860</v>
      </c>
      <c r="B2597" s="3" t="s">
        <v>105</v>
      </c>
      <c r="C2597" s="15" t="s">
        <v>47</v>
      </c>
      <c r="D2597" s="15">
        <v>270</v>
      </c>
      <c r="E2597" s="11">
        <v>2200</v>
      </c>
      <c r="F2597" s="3" t="s">
        <v>8</v>
      </c>
      <c r="G2597" s="46">
        <v>9.1999999999999993</v>
      </c>
      <c r="H2597" s="3">
        <v>9.9</v>
      </c>
      <c r="I2597" s="46">
        <v>0</v>
      </c>
      <c r="J2597" s="55">
        <v>0</v>
      </c>
      <c r="K2597" s="1">
        <f t="shared" ref="K2597" si="3621">(IF(F2597="SELL",G2597-H2597,IF(F2597="BUY",H2597-G2597)))*E2597</f>
        <v>1540.0000000000023</v>
      </c>
      <c r="L2597" s="51">
        <v>0</v>
      </c>
      <c r="M2597" s="52">
        <f t="shared" si="3612"/>
        <v>0</v>
      </c>
      <c r="N2597" s="2">
        <f t="shared" si="3592"/>
        <v>0.70000000000000107</v>
      </c>
      <c r="O2597" s="2">
        <f t="shared" si="3615"/>
        <v>1540.0000000000023</v>
      </c>
      <c r="P2597" s="13"/>
      <c r="Q2597" s="13"/>
      <c r="R2597" s="13"/>
      <c r="S2597" s="13"/>
      <c r="T2597" s="13"/>
      <c r="U2597" s="13"/>
      <c r="V2597" s="13"/>
      <c r="W2597" s="13"/>
      <c r="X2597" s="13"/>
      <c r="Y2597" s="13"/>
      <c r="Z2597" s="13"/>
      <c r="AA2597" s="13"/>
      <c r="AB2597" s="13"/>
      <c r="AC2597" s="13"/>
      <c r="AD2597" s="13"/>
      <c r="AE2597" s="13"/>
      <c r="AF2597" s="13"/>
      <c r="AG2597" s="13"/>
    </row>
    <row r="2598" spans="1:33" s="14" customFormat="1" ht="15" customHeight="1">
      <c r="A2598" s="10">
        <v>42860</v>
      </c>
      <c r="B2598" s="3" t="s">
        <v>63</v>
      </c>
      <c r="C2598" s="15" t="s">
        <v>46</v>
      </c>
      <c r="D2598" s="15">
        <v>530</v>
      </c>
      <c r="E2598" s="11">
        <v>1050</v>
      </c>
      <c r="F2598" s="3" t="s">
        <v>8</v>
      </c>
      <c r="G2598" s="46">
        <v>14.5</v>
      </c>
      <c r="H2598" s="3">
        <v>16.399999999999999</v>
      </c>
      <c r="I2598" s="46">
        <v>0</v>
      </c>
      <c r="J2598" s="55">
        <v>0</v>
      </c>
      <c r="K2598" s="1">
        <f t="shared" ref="K2598" si="3622">(IF(F2598="SELL",G2598-H2598,IF(F2598="BUY",H2598-G2598)))*E2598</f>
        <v>1994.9999999999984</v>
      </c>
      <c r="L2598" s="51">
        <v>0</v>
      </c>
      <c r="M2598" s="52">
        <f t="shared" si="3612"/>
        <v>0</v>
      </c>
      <c r="N2598" s="2">
        <f t="shared" si="3592"/>
        <v>1.8999999999999986</v>
      </c>
      <c r="O2598" s="2">
        <f t="shared" si="3615"/>
        <v>1994.9999999999984</v>
      </c>
      <c r="P2598" s="13"/>
      <c r="Q2598" s="13"/>
      <c r="R2598" s="13"/>
      <c r="S2598" s="13"/>
      <c r="T2598" s="13"/>
      <c r="U2598" s="13"/>
      <c r="V2598" s="13"/>
      <c r="W2598" s="13"/>
      <c r="X2598" s="13"/>
      <c r="Y2598" s="13"/>
      <c r="Z2598" s="13"/>
      <c r="AA2598" s="13"/>
      <c r="AB2598" s="13"/>
      <c r="AC2598" s="13"/>
      <c r="AD2598" s="13"/>
      <c r="AE2598" s="13"/>
      <c r="AF2598" s="13"/>
      <c r="AG2598" s="13"/>
    </row>
    <row r="2599" spans="1:33" s="14" customFormat="1" ht="15" customHeight="1">
      <c r="A2599" s="10">
        <v>42859</v>
      </c>
      <c r="B2599" s="3" t="s">
        <v>83</v>
      </c>
      <c r="C2599" s="15" t="s">
        <v>47</v>
      </c>
      <c r="D2599" s="15">
        <v>22600</v>
      </c>
      <c r="E2599" s="11">
        <v>40</v>
      </c>
      <c r="F2599" s="3" t="s">
        <v>8</v>
      </c>
      <c r="G2599" s="46">
        <v>15</v>
      </c>
      <c r="H2599" s="3">
        <v>25</v>
      </c>
      <c r="I2599" s="46">
        <v>35</v>
      </c>
      <c r="J2599" s="55">
        <v>85</v>
      </c>
      <c r="K2599" s="1">
        <f t="shared" ref="K2599" si="3623">(IF(F2599="SELL",G2599-H2599,IF(F2599="BUY",H2599-G2599)))*E2599</f>
        <v>400</v>
      </c>
      <c r="L2599" s="51">
        <f t="shared" ref="L2599" si="3624">(IF(F2599="SELL",IF(I2599="",0,H2599-I2599),IF(F2599="BUY",IF(I2599="",0,I2599-H2599))))*E2599</f>
        <v>400</v>
      </c>
      <c r="M2599" s="52">
        <f t="shared" si="3612"/>
        <v>2000</v>
      </c>
      <c r="N2599" s="2">
        <f t="shared" si="3592"/>
        <v>70</v>
      </c>
      <c r="O2599" s="2">
        <f t="shared" si="3615"/>
        <v>2800</v>
      </c>
      <c r="P2599" s="13"/>
      <c r="Q2599" s="13"/>
      <c r="R2599" s="13"/>
      <c r="S2599" s="13"/>
      <c r="T2599" s="13"/>
      <c r="U2599" s="13"/>
      <c r="V2599" s="13"/>
      <c r="W2599" s="13"/>
      <c r="X2599" s="13"/>
      <c r="Y2599" s="13"/>
      <c r="Z2599" s="13"/>
      <c r="AA2599" s="13"/>
      <c r="AB2599" s="13"/>
      <c r="AC2599" s="13"/>
      <c r="AD2599" s="13"/>
      <c r="AE2599" s="13"/>
      <c r="AF2599" s="13"/>
      <c r="AG2599" s="13"/>
    </row>
    <row r="2600" spans="1:33" s="14" customFormat="1" ht="15" customHeight="1">
      <c r="A2600" s="10">
        <v>42859</v>
      </c>
      <c r="B2600" s="3" t="s">
        <v>104</v>
      </c>
      <c r="C2600" s="15" t="s">
        <v>46</v>
      </c>
      <c r="D2600" s="15">
        <v>1300</v>
      </c>
      <c r="E2600" s="11">
        <v>400</v>
      </c>
      <c r="F2600" s="3" t="s">
        <v>8</v>
      </c>
      <c r="G2600" s="46">
        <v>32</v>
      </c>
      <c r="H2600" s="3">
        <v>32</v>
      </c>
      <c r="I2600" s="46">
        <v>0</v>
      </c>
      <c r="J2600" s="55">
        <v>0</v>
      </c>
      <c r="K2600" s="1">
        <f t="shared" ref="K2600" si="3625">(IF(F2600="SELL",G2600-H2600,IF(F2600="BUY",H2600-G2600)))*E2600</f>
        <v>0</v>
      </c>
      <c r="L2600" s="51">
        <v>0</v>
      </c>
      <c r="M2600" s="52">
        <v>0</v>
      </c>
      <c r="N2600" s="2">
        <f t="shared" si="3592"/>
        <v>0</v>
      </c>
      <c r="O2600" s="2">
        <f t="shared" si="3615"/>
        <v>0</v>
      </c>
      <c r="P2600" s="13"/>
      <c r="Q2600" s="13"/>
      <c r="R2600" s="13"/>
      <c r="S2600" s="13"/>
      <c r="T2600" s="13"/>
      <c r="U2600" s="13"/>
      <c r="V2600" s="13"/>
      <c r="W2600" s="13"/>
      <c r="X2600" s="13"/>
      <c r="Y2600" s="13"/>
      <c r="Z2600" s="13"/>
      <c r="AA2600" s="13"/>
      <c r="AB2600" s="13"/>
      <c r="AC2600" s="13"/>
      <c r="AD2600" s="13"/>
      <c r="AE2600" s="13"/>
      <c r="AF2600" s="13"/>
      <c r="AG2600" s="13"/>
    </row>
    <row r="2601" spans="1:33" s="14" customFormat="1" ht="15" customHeight="1">
      <c r="A2601" s="10">
        <v>42859</v>
      </c>
      <c r="B2601" s="3" t="s">
        <v>22</v>
      </c>
      <c r="C2601" s="15" t="s">
        <v>46</v>
      </c>
      <c r="D2601" s="15">
        <v>175</v>
      </c>
      <c r="E2601" s="11">
        <v>5000</v>
      </c>
      <c r="F2601" s="3" t="s">
        <v>8</v>
      </c>
      <c r="G2601" s="46">
        <v>4</v>
      </c>
      <c r="H2601" s="3">
        <v>4</v>
      </c>
      <c r="I2601" s="46">
        <v>0</v>
      </c>
      <c r="J2601" s="55">
        <v>0</v>
      </c>
      <c r="K2601" s="1">
        <f t="shared" ref="K2601" si="3626">(IF(F2601="SELL",G2601-H2601,IF(F2601="BUY",H2601-G2601)))*E2601</f>
        <v>0</v>
      </c>
      <c r="L2601" s="51">
        <v>0</v>
      </c>
      <c r="M2601" s="52">
        <v>0</v>
      </c>
      <c r="N2601" s="2">
        <f t="shared" si="3592"/>
        <v>0</v>
      </c>
      <c r="O2601" s="2">
        <f t="shared" si="3615"/>
        <v>0</v>
      </c>
      <c r="P2601" s="13"/>
      <c r="Q2601" s="13"/>
      <c r="R2601" s="13"/>
      <c r="S2601" s="13"/>
      <c r="T2601" s="13"/>
      <c r="U2601" s="13"/>
      <c r="V2601" s="13"/>
      <c r="W2601" s="13"/>
      <c r="X2601" s="13"/>
      <c r="Y2601" s="13"/>
      <c r="Z2601" s="13"/>
      <c r="AA2601" s="13"/>
      <c r="AB2601" s="13"/>
      <c r="AC2601" s="13"/>
      <c r="AD2601" s="13"/>
      <c r="AE2601" s="13"/>
      <c r="AF2601" s="13"/>
      <c r="AG2601" s="13"/>
    </row>
    <row r="2602" spans="1:33" s="14" customFormat="1" ht="15" customHeight="1">
      <c r="A2602" s="10">
        <v>42859</v>
      </c>
      <c r="B2602" s="3" t="s">
        <v>103</v>
      </c>
      <c r="C2602" s="15" t="s">
        <v>47</v>
      </c>
      <c r="D2602" s="15">
        <v>85</v>
      </c>
      <c r="E2602" s="11">
        <v>7000</v>
      </c>
      <c r="F2602" s="3" t="s">
        <v>8</v>
      </c>
      <c r="G2602" s="46">
        <v>2.7</v>
      </c>
      <c r="H2602" s="3">
        <v>2.7</v>
      </c>
      <c r="I2602" s="46">
        <v>0</v>
      </c>
      <c r="J2602" s="55">
        <v>0</v>
      </c>
      <c r="K2602" s="1">
        <f t="shared" ref="K2602" si="3627">(IF(F2602="SELL",G2602-H2602,IF(F2602="BUY",H2602-G2602)))*E2602</f>
        <v>0</v>
      </c>
      <c r="L2602" s="51">
        <v>0</v>
      </c>
      <c r="M2602" s="52">
        <v>0</v>
      </c>
      <c r="N2602" s="2">
        <f t="shared" si="3592"/>
        <v>0</v>
      </c>
      <c r="O2602" s="2">
        <f t="shared" si="3615"/>
        <v>0</v>
      </c>
      <c r="P2602" s="13"/>
      <c r="Q2602" s="13"/>
      <c r="R2602" s="13"/>
      <c r="S2602" s="13"/>
      <c r="T2602" s="13"/>
      <c r="U2602" s="13"/>
      <c r="V2602" s="13"/>
      <c r="W2602" s="13"/>
      <c r="X2602" s="13"/>
      <c r="Y2602" s="13"/>
      <c r="Z2602" s="13"/>
      <c r="AA2602" s="13"/>
      <c r="AB2602" s="13"/>
      <c r="AC2602" s="13"/>
      <c r="AD2602" s="13"/>
      <c r="AE2602" s="13"/>
      <c r="AF2602" s="13"/>
      <c r="AG2602" s="13"/>
    </row>
    <row r="2603" spans="1:33" s="14" customFormat="1" ht="15" customHeight="1">
      <c r="A2603" s="10">
        <v>42859</v>
      </c>
      <c r="B2603" s="3" t="s">
        <v>55</v>
      </c>
      <c r="C2603" s="15" t="s">
        <v>47</v>
      </c>
      <c r="D2603" s="15">
        <v>200</v>
      </c>
      <c r="E2603" s="11">
        <v>3500</v>
      </c>
      <c r="F2603" s="3" t="s">
        <v>8</v>
      </c>
      <c r="G2603" s="46">
        <v>5.7</v>
      </c>
      <c r="H2603" s="3">
        <v>6.1</v>
      </c>
      <c r="I2603" s="46">
        <v>6.9</v>
      </c>
      <c r="J2603" s="55">
        <v>0</v>
      </c>
      <c r="K2603" s="1">
        <f t="shared" ref="K2603" si="3628">(IF(F2603="SELL",G2603-H2603,IF(F2603="BUY",H2603-G2603)))*E2603</f>
        <v>1399.9999999999982</v>
      </c>
      <c r="L2603" s="51">
        <f t="shared" ref="L2603" si="3629">(IF(F2603="SELL",IF(I2603="",0,H2603-I2603),IF(F2603="BUY",IF(I2603="",0,I2603-H2603))))*E2603</f>
        <v>2800.0000000000023</v>
      </c>
      <c r="M2603" s="52">
        <v>0</v>
      </c>
      <c r="N2603" s="2">
        <f t="shared" si="3592"/>
        <v>1.2</v>
      </c>
      <c r="O2603" s="2">
        <f t="shared" si="3615"/>
        <v>4200</v>
      </c>
      <c r="P2603" s="13"/>
      <c r="Q2603" s="13"/>
      <c r="R2603" s="13"/>
      <c r="S2603" s="13"/>
      <c r="T2603" s="13"/>
      <c r="U2603" s="13"/>
      <c r="V2603" s="13"/>
      <c r="W2603" s="13"/>
      <c r="X2603" s="13"/>
      <c r="Y2603" s="13"/>
      <c r="Z2603" s="13"/>
      <c r="AA2603" s="13"/>
      <c r="AB2603" s="13"/>
      <c r="AC2603" s="13"/>
      <c r="AD2603" s="13"/>
      <c r="AE2603" s="13"/>
      <c r="AF2603" s="13"/>
      <c r="AG2603" s="13"/>
    </row>
    <row r="2604" spans="1:33" s="14" customFormat="1" ht="15" customHeight="1">
      <c r="A2604" s="10">
        <v>42859</v>
      </c>
      <c r="B2604" s="3" t="s">
        <v>30</v>
      </c>
      <c r="C2604" s="15" t="s">
        <v>47</v>
      </c>
      <c r="D2604" s="15">
        <v>300</v>
      </c>
      <c r="E2604" s="11">
        <v>2500</v>
      </c>
      <c r="F2604" s="3" t="s">
        <v>8</v>
      </c>
      <c r="G2604" s="46">
        <v>6</v>
      </c>
      <c r="H2604" s="3">
        <v>6.6</v>
      </c>
      <c r="I2604" s="46">
        <v>7.8</v>
      </c>
      <c r="J2604" s="55">
        <v>0</v>
      </c>
      <c r="K2604" s="1">
        <f t="shared" ref="K2604" si="3630">(IF(F2604="SELL",G2604-H2604,IF(F2604="BUY",H2604-G2604)))*E2604</f>
        <v>1499.9999999999991</v>
      </c>
      <c r="L2604" s="51">
        <f t="shared" ref="L2604" si="3631">(IF(F2604="SELL",IF(I2604="",0,H2604-I2604),IF(F2604="BUY",IF(I2604="",0,I2604-H2604))))*E2604</f>
        <v>3000.0000000000005</v>
      </c>
      <c r="M2604" s="52">
        <v>0</v>
      </c>
      <c r="N2604" s="2">
        <f t="shared" si="3592"/>
        <v>1.8</v>
      </c>
      <c r="O2604" s="2">
        <f t="shared" si="3615"/>
        <v>4500</v>
      </c>
      <c r="P2604" s="13"/>
      <c r="Q2604" s="13"/>
      <c r="R2604" s="13"/>
      <c r="S2604" s="13"/>
      <c r="T2604" s="13"/>
      <c r="U2604" s="13"/>
      <c r="V2604" s="13"/>
      <c r="W2604" s="13"/>
      <c r="X2604" s="13"/>
      <c r="Y2604" s="13"/>
      <c r="Z2604" s="13"/>
      <c r="AA2604" s="13"/>
      <c r="AB2604" s="13"/>
      <c r="AC2604" s="13"/>
      <c r="AD2604" s="13"/>
      <c r="AE2604" s="13"/>
      <c r="AF2604" s="13"/>
      <c r="AG2604" s="13"/>
    </row>
    <row r="2605" spans="1:33" s="14" customFormat="1" ht="15" customHeight="1">
      <c r="A2605" s="10">
        <v>42859</v>
      </c>
      <c r="B2605" s="3" t="s">
        <v>61</v>
      </c>
      <c r="C2605" s="15" t="s">
        <v>47</v>
      </c>
      <c r="D2605" s="15">
        <v>175</v>
      </c>
      <c r="E2605" s="11">
        <v>4000</v>
      </c>
      <c r="F2605" s="3" t="s">
        <v>8</v>
      </c>
      <c r="G2605" s="46">
        <v>6.5</v>
      </c>
      <c r="H2605" s="3">
        <v>6.75</v>
      </c>
      <c r="I2605" s="46">
        <v>7.25</v>
      </c>
      <c r="J2605" s="55">
        <v>8.1</v>
      </c>
      <c r="K2605" s="1">
        <f t="shared" ref="K2605" si="3632">(IF(F2605="SELL",G2605-H2605,IF(F2605="BUY",H2605-G2605)))*E2605</f>
        <v>1000</v>
      </c>
      <c r="L2605" s="51">
        <f t="shared" ref="L2605" si="3633">(IF(F2605="SELL",IF(I2605="",0,H2605-I2605),IF(F2605="BUY",IF(I2605="",0,I2605-H2605))))*E2605</f>
        <v>2000</v>
      </c>
      <c r="M2605" s="52">
        <f>(IF(F2605="SELL",IF(J2605="",0,I2605-J2605),IF(F2605="BUY",IF(J2605="",0,(J2605-I2605)))))*E2605</f>
        <v>3399.9999999999986</v>
      </c>
      <c r="N2605" s="2">
        <f t="shared" si="3592"/>
        <v>1.5999999999999996</v>
      </c>
      <c r="O2605" s="2">
        <f t="shared" si="3615"/>
        <v>6399.9999999999982</v>
      </c>
      <c r="P2605" s="13"/>
      <c r="Q2605" s="13"/>
      <c r="R2605" s="13"/>
      <c r="S2605" s="13"/>
      <c r="T2605" s="13"/>
      <c r="U2605" s="13"/>
      <c r="V2605" s="13"/>
      <c r="W2605" s="13"/>
      <c r="X2605" s="13"/>
      <c r="Y2605" s="13"/>
      <c r="Z2605" s="13"/>
      <c r="AA2605" s="13"/>
      <c r="AB2605" s="13"/>
      <c r="AC2605" s="13"/>
      <c r="AD2605" s="13"/>
      <c r="AE2605" s="13"/>
      <c r="AF2605" s="13"/>
      <c r="AG2605" s="13"/>
    </row>
    <row r="2606" spans="1:33" s="14" customFormat="1" ht="15" customHeight="1">
      <c r="A2606" s="10">
        <v>42858</v>
      </c>
      <c r="B2606" s="3" t="s">
        <v>72</v>
      </c>
      <c r="C2606" s="15" t="s">
        <v>46</v>
      </c>
      <c r="D2606" s="15">
        <v>740</v>
      </c>
      <c r="E2606" s="11">
        <v>1200</v>
      </c>
      <c r="F2606" s="3" t="s">
        <v>8</v>
      </c>
      <c r="G2606" s="46">
        <v>21</v>
      </c>
      <c r="H2606" s="3">
        <v>22.25</v>
      </c>
      <c r="I2606" s="46">
        <v>0</v>
      </c>
      <c r="J2606" s="55">
        <v>0</v>
      </c>
      <c r="K2606" s="1">
        <f t="shared" ref="K2606" si="3634">(IF(F2606="SELL",G2606-H2606,IF(F2606="BUY",H2606-G2606)))*E2606</f>
        <v>1500</v>
      </c>
      <c r="L2606" s="51">
        <v>0</v>
      </c>
      <c r="M2606" s="52">
        <v>0</v>
      </c>
      <c r="N2606" s="2">
        <f t="shared" si="3592"/>
        <v>1.25</v>
      </c>
      <c r="O2606" s="2">
        <f t="shared" si="3615"/>
        <v>1500</v>
      </c>
      <c r="P2606" s="13"/>
      <c r="Q2606" s="13"/>
      <c r="R2606" s="13"/>
      <c r="S2606" s="13"/>
      <c r="T2606" s="13"/>
      <c r="U2606" s="13"/>
      <c r="V2606" s="13"/>
      <c r="W2606" s="13"/>
      <c r="X2606" s="13"/>
      <c r="Y2606" s="13"/>
      <c r="Z2606" s="13"/>
      <c r="AA2606" s="13"/>
      <c r="AB2606" s="13"/>
      <c r="AC2606" s="13"/>
      <c r="AD2606" s="13"/>
      <c r="AE2606" s="13"/>
      <c r="AF2606" s="13"/>
      <c r="AG2606" s="13"/>
    </row>
    <row r="2607" spans="1:33" s="14" customFormat="1" ht="15" customHeight="1">
      <c r="A2607" s="10">
        <v>42858</v>
      </c>
      <c r="B2607" s="3" t="s">
        <v>9</v>
      </c>
      <c r="C2607" s="15" t="s">
        <v>47</v>
      </c>
      <c r="D2607" s="15">
        <v>1180</v>
      </c>
      <c r="E2607" s="11">
        <v>600</v>
      </c>
      <c r="F2607" s="3" t="s">
        <v>8</v>
      </c>
      <c r="G2607" s="46">
        <v>36</v>
      </c>
      <c r="H2607" s="3">
        <v>32.5</v>
      </c>
      <c r="I2607" s="46">
        <v>0</v>
      </c>
      <c r="J2607" s="55">
        <v>0</v>
      </c>
      <c r="K2607" s="1">
        <f t="shared" ref="K2607" si="3635">(IF(F2607="SELL",G2607-H2607,IF(F2607="BUY",H2607-G2607)))*E2607</f>
        <v>-2100</v>
      </c>
      <c r="L2607" s="51">
        <v>0</v>
      </c>
      <c r="M2607" s="52">
        <v>0</v>
      </c>
      <c r="N2607" s="2">
        <f t="shared" si="3592"/>
        <v>-3.5</v>
      </c>
      <c r="O2607" s="2">
        <f t="shared" si="3615"/>
        <v>-2100</v>
      </c>
      <c r="P2607" s="13"/>
      <c r="Q2607" s="13"/>
      <c r="R2607" s="13"/>
      <c r="S2607" s="13"/>
      <c r="T2607" s="13"/>
      <c r="U2607" s="13"/>
      <c r="V2607" s="13"/>
      <c r="W2607" s="13"/>
      <c r="X2607" s="13"/>
      <c r="Y2607" s="13"/>
      <c r="Z2607" s="13"/>
      <c r="AA2607" s="13"/>
      <c r="AB2607" s="13"/>
      <c r="AC2607" s="13"/>
      <c r="AD2607" s="13"/>
      <c r="AE2607" s="13"/>
      <c r="AF2607" s="13"/>
      <c r="AG2607" s="13"/>
    </row>
    <row r="2608" spans="1:33" s="14" customFormat="1" ht="15" customHeight="1">
      <c r="A2608" s="10">
        <v>42858</v>
      </c>
      <c r="B2608" s="3" t="s">
        <v>30</v>
      </c>
      <c r="C2608" s="15" t="s">
        <v>47</v>
      </c>
      <c r="D2608" s="15">
        <v>275</v>
      </c>
      <c r="E2608" s="11">
        <v>2500</v>
      </c>
      <c r="F2608" s="3" t="s">
        <v>8</v>
      </c>
      <c r="G2608" s="46">
        <v>9</v>
      </c>
      <c r="H2608" s="3">
        <v>9.6</v>
      </c>
      <c r="I2608" s="46">
        <v>0</v>
      </c>
      <c r="J2608" s="55">
        <v>0</v>
      </c>
      <c r="K2608" s="1">
        <f t="shared" ref="K2608" si="3636">(IF(F2608="SELL",G2608-H2608,IF(F2608="BUY",H2608-G2608)))*E2608</f>
        <v>1499.9999999999991</v>
      </c>
      <c r="L2608" s="51">
        <v>0</v>
      </c>
      <c r="M2608" s="52">
        <v>0</v>
      </c>
      <c r="N2608" s="2">
        <f t="shared" si="3592"/>
        <v>0.59999999999999964</v>
      </c>
      <c r="O2608" s="2">
        <f t="shared" si="3615"/>
        <v>1499.9999999999991</v>
      </c>
      <c r="P2608" s="13"/>
      <c r="Q2608" s="13"/>
      <c r="R2608" s="13"/>
      <c r="S2608" s="13"/>
      <c r="T2608" s="13"/>
      <c r="U2608" s="13"/>
      <c r="V2608" s="13"/>
      <c r="W2608" s="13"/>
      <c r="X2608" s="13"/>
      <c r="Y2608" s="13"/>
      <c r="Z2608" s="13"/>
      <c r="AA2608" s="13"/>
      <c r="AB2608" s="13"/>
      <c r="AC2608" s="13"/>
      <c r="AD2608" s="13"/>
      <c r="AE2608" s="13"/>
      <c r="AF2608" s="13"/>
      <c r="AG2608" s="13"/>
    </row>
    <row r="2609" spans="1:33" s="14" customFormat="1" ht="15" customHeight="1">
      <c r="A2609" s="10">
        <v>42858</v>
      </c>
      <c r="B2609" s="3" t="s">
        <v>55</v>
      </c>
      <c r="C2609" s="15" t="s">
        <v>47</v>
      </c>
      <c r="D2609" s="15">
        <v>190</v>
      </c>
      <c r="E2609" s="11">
        <v>3500</v>
      </c>
      <c r="F2609" s="3" t="s">
        <v>8</v>
      </c>
      <c r="G2609" s="46">
        <v>8</v>
      </c>
      <c r="H2609" s="3">
        <v>8</v>
      </c>
      <c r="I2609" s="46">
        <v>0</v>
      </c>
      <c r="J2609" s="55">
        <v>0</v>
      </c>
      <c r="K2609" s="1">
        <f t="shared" ref="K2609" si="3637">(IF(F2609="SELL",G2609-H2609,IF(F2609="BUY",H2609-G2609)))*E2609</f>
        <v>0</v>
      </c>
      <c r="L2609" s="51">
        <v>0</v>
      </c>
      <c r="M2609" s="52">
        <v>0</v>
      </c>
      <c r="N2609" s="2">
        <f t="shared" si="3592"/>
        <v>0</v>
      </c>
      <c r="O2609" s="2">
        <f t="shared" si="3615"/>
        <v>0</v>
      </c>
      <c r="P2609" s="13"/>
      <c r="Q2609" s="13"/>
      <c r="R2609" s="13"/>
      <c r="S2609" s="13"/>
      <c r="T2609" s="13"/>
      <c r="U2609" s="13"/>
      <c r="V2609" s="13"/>
      <c r="W2609" s="13"/>
      <c r="X2609" s="13"/>
      <c r="Y2609" s="13"/>
      <c r="Z2609" s="13"/>
      <c r="AA2609" s="13"/>
      <c r="AB2609" s="13"/>
      <c r="AC2609" s="13"/>
      <c r="AD2609" s="13"/>
      <c r="AE2609" s="13"/>
      <c r="AF2609" s="13"/>
      <c r="AG2609" s="13"/>
    </row>
    <row r="2610" spans="1:33" s="14" customFormat="1" ht="15" customHeight="1">
      <c r="A2610" s="10">
        <v>42857</v>
      </c>
      <c r="B2610" s="3" t="s">
        <v>17</v>
      </c>
      <c r="C2610" s="15" t="s">
        <v>46</v>
      </c>
      <c r="D2610" s="15">
        <v>500</v>
      </c>
      <c r="E2610" s="11">
        <v>1200</v>
      </c>
      <c r="F2610" s="3" t="s">
        <v>8</v>
      </c>
      <c r="G2610" s="46">
        <v>12</v>
      </c>
      <c r="H2610" s="3">
        <v>12</v>
      </c>
      <c r="I2610" s="46">
        <v>0</v>
      </c>
      <c r="J2610" s="55">
        <v>0</v>
      </c>
      <c r="K2610" s="1">
        <f t="shared" ref="K2610" si="3638">(IF(F2610="SELL",G2610-H2610,IF(F2610="BUY",H2610-G2610)))*E2610</f>
        <v>0</v>
      </c>
      <c r="L2610" s="51">
        <v>0</v>
      </c>
      <c r="M2610" s="52">
        <v>0</v>
      </c>
      <c r="N2610" s="2">
        <f t="shared" si="3592"/>
        <v>0</v>
      </c>
      <c r="O2610" s="2">
        <f t="shared" si="3615"/>
        <v>0</v>
      </c>
      <c r="P2610" s="13"/>
      <c r="Q2610" s="13"/>
      <c r="R2610" s="13"/>
      <c r="S2610" s="13"/>
      <c r="T2610" s="13"/>
      <c r="U2610" s="13"/>
      <c r="V2610" s="13"/>
      <c r="W2610" s="13"/>
      <c r="X2610" s="13"/>
      <c r="Y2610" s="13"/>
      <c r="Z2610" s="13"/>
      <c r="AA2610" s="13"/>
      <c r="AB2610" s="13"/>
      <c r="AC2610" s="13"/>
      <c r="AD2610" s="13"/>
      <c r="AE2610" s="13"/>
      <c r="AF2610" s="13"/>
      <c r="AG2610" s="13"/>
    </row>
    <row r="2611" spans="1:33" s="14" customFormat="1" ht="15" customHeight="1">
      <c r="A2611" s="10">
        <v>42857</v>
      </c>
      <c r="B2611" s="3" t="s">
        <v>14</v>
      </c>
      <c r="C2611" s="15" t="s">
        <v>47</v>
      </c>
      <c r="D2611" s="15">
        <v>410</v>
      </c>
      <c r="E2611" s="11">
        <v>2000</v>
      </c>
      <c r="F2611" s="3" t="s">
        <v>8</v>
      </c>
      <c r="G2611" s="46">
        <v>12</v>
      </c>
      <c r="H2611" s="3">
        <v>12.75</v>
      </c>
      <c r="I2611" s="46">
        <v>0</v>
      </c>
      <c r="J2611" s="55">
        <v>0</v>
      </c>
      <c r="K2611" s="1">
        <f t="shared" ref="K2611" si="3639">(IF(F2611="SELL",G2611-H2611,IF(F2611="BUY",H2611-G2611)))*E2611</f>
        <v>1500</v>
      </c>
      <c r="L2611" s="51">
        <v>0</v>
      </c>
      <c r="M2611" s="52">
        <v>0</v>
      </c>
      <c r="N2611" s="2">
        <f t="shared" si="3592"/>
        <v>0.75</v>
      </c>
      <c r="O2611" s="2">
        <f t="shared" si="3615"/>
        <v>1500</v>
      </c>
      <c r="P2611" s="13"/>
      <c r="Q2611" s="13"/>
      <c r="R2611" s="13"/>
      <c r="S2611" s="13"/>
      <c r="T2611" s="13"/>
      <c r="U2611" s="13"/>
      <c r="V2611" s="13"/>
      <c r="W2611" s="13"/>
      <c r="X2611" s="13"/>
      <c r="Y2611" s="13"/>
      <c r="Z2611" s="13"/>
      <c r="AA2611" s="13"/>
      <c r="AB2611" s="13"/>
      <c r="AC2611" s="13"/>
      <c r="AD2611" s="13"/>
      <c r="AE2611" s="13"/>
      <c r="AF2611" s="13"/>
      <c r="AG2611" s="13"/>
    </row>
    <row r="2612" spans="1:33" s="14" customFormat="1" ht="15" customHeight="1">
      <c r="A2612" s="10">
        <v>42857</v>
      </c>
      <c r="B2612" s="3" t="s">
        <v>102</v>
      </c>
      <c r="C2612" s="15" t="s">
        <v>47</v>
      </c>
      <c r="D2612" s="15">
        <v>340</v>
      </c>
      <c r="E2612" s="11">
        <v>500</v>
      </c>
      <c r="F2612" s="3" t="s">
        <v>8</v>
      </c>
      <c r="G2612" s="46">
        <v>11.5</v>
      </c>
      <c r="H2612" s="3">
        <v>11.5</v>
      </c>
      <c r="I2612" s="46">
        <v>0</v>
      </c>
      <c r="J2612" s="55">
        <v>0</v>
      </c>
      <c r="K2612" s="1">
        <f t="shared" ref="K2612" si="3640">(IF(F2612="SELL",G2612-H2612,IF(F2612="BUY",H2612-G2612)))*E2612</f>
        <v>0</v>
      </c>
      <c r="L2612" s="51">
        <v>0</v>
      </c>
      <c r="M2612" s="52">
        <v>0</v>
      </c>
      <c r="N2612" s="2">
        <f t="shared" si="3592"/>
        <v>0</v>
      </c>
      <c r="O2612" s="2">
        <f t="shared" si="3615"/>
        <v>0</v>
      </c>
      <c r="P2612" s="13"/>
      <c r="Q2612" s="13"/>
      <c r="R2612" s="13"/>
      <c r="S2612" s="13"/>
      <c r="T2612" s="13"/>
      <c r="U2612" s="13"/>
      <c r="V2612" s="13"/>
      <c r="W2612" s="13"/>
      <c r="X2612" s="13"/>
      <c r="Y2612" s="13"/>
      <c r="Z2612" s="13"/>
      <c r="AA2612" s="13"/>
      <c r="AB2612" s="13"/>
      <c r="AC2612" s="13"/>
      <c r="AD2612" s="13"/>
      <c r="AE2612" s="13"/>
      <c r="AF2612" s="13"/>
      <c r="AG2612" s="13"/>
    </row>
    <row r="2613" spans="1:33" s="14" customFormat="1" ht="15" customHeight="1">
      <c r="A2613" s="10">
        <v>42853</v>
      </c>
      <c r="B2613" s="3" t="s">
        <v>101</v>
      </c>
      <c r="C2613" s="15" t="s">
        <v>46</v>
      </c>
      <c r="D2613" s="15">
        <v>900</v>
      </c>
      <c r="E2613" s="11">
        <v>500</v>
      </c>
      <c r="F2613" s="3" t="s">
        <v>8</v>
      </c>
      <c r="G2613" s="46">
        <v>18</v>
      </c>
      <c r="H2613" s="3">
        <v>18</v>
      </c>
      <c r="I2613" s="46">
        <v>0</v>
      </c>
      <c r="J2613" s="55">
        <v>0</v>
      </c>
      <c r="K2613" s="1">
        <f t="shared" ref="K2613" si="3641">(IF(F2613="SELL",G2613-H2613,IF(F2613="BUY",H2613-G2613)))*E2613</f>
        <v>0</v>
      </c>
      <c r="L2613" s="51">
        <v>0</v>
      </c>
      <c r="M2613" s="52">
        <v>0</v>
      </c>
      <c r="N2613" s="2">
        <f t="shared" si="3592"/>
        <v>0</v>
      </c>
      <c r="O2613" s="2">
        <f t="shared" si="3615"/>
        <v>0</v>
      </c>
      <c r="P2613" s="13"/>
      <c r="Q2613" s="13"/>
      <c r="R2613" s="13"/>
      <c r="S2613" s="13"/>
      <c r="T2613" s="13"/>
      <c r="U2613" s="13"/>
      <c r="V2613" s="13"/>
      <c r="W2613" s="13"/>
      <c r="X2613" s="13"/>
      <c r="Y2613" s="13"/>
      <c r="Z2613" s="13"/>
      <c r="AA2613" s="13"/>
      <c r="AB2613" s="13"/>
      <c r="AC2613" s="13"/>
      <c r="AD2613" s="13"/>
      <c r="AE2613" s="13"/>
      <c r="AF2613" s="13"/>
      <c r="AG2613" s="13"/>
    </row>
    <row r="2614" spans="1:33" s="14" customFormat="1" ht="15" customHeight="1">
      <c r="A2614" s="10">
        <v>42853</v>
      </c>
      <c r="B2614" s="3" t="s">
        <v>59</v>
      </c>
      <c r="C2614" s="15" t="s">
        <v>47</v>
      </c>
      <c r="D2614" s="15">
        <v>170</v>
      </c>
      <c r="E2614" s="11">
        <v>500</v>
      </c>
      <c r="F2614" s="3" t="s">
        <v>8</v>
      </c>
      <c r="G2614" s="46">
        <v>7</v>
      </c>
      <c r="H2614" s="3">
        <v>7</v>
      </c>
      <c r="I2614" s="46">
        <v>0</v>
      </c>
      <c r="J2614" s="55">
        <v>0</v>
      </c>
      <c r="K2614" s="1">
        <f t="shared" ref="K2614" si="3642">(IF(F2614="SELL",G2614-H2614,IF(F2614="BUY",H2614-G2614)))*E2614</f>
        <v>0</v>
      </c>
      <c r="L2614" s="51">
        <v>0</v>
      </c>
      <c r="M2614" s="52">
        <v>0</v>
      </c>
      <c r="N2614" s="2">
        <f t="shared" si="3592"/>
        <v>0</v>
      </c>
      <c r="O2614" s="2">
        <f t="shared" si="3615"/>
        <v>0</v>
      </c>
      <c r="P2614" s="13"/>
      <c r="Q2614" s="13"/>
      <c r="R2614" s="13"/>
      <c r="S2614" s="13"/>
      <c r="T2614" s="13"/>
      <c r="U2614" s="13"/>
      <c r="V2614" s="13"/>
      <c r="W2614" s="13"/>
      <c r="X2614" s="13"/>
      <c r="Y2614" s="13"/>
      <c r="Z2614" s="13"/>
      <c r="AA2614" s="13"/>
      <c r="AB2614" s="13"/>
      <c r="AC2614" s="13"/>
      <c r="AD2614" s="13"/>
      <c r="AE2614" s="13"/>
      <c r="AF2614" s="13"/>
      <c r="AG2614" s="13"/>
    </row>
    <row r="2615" spans="1:33" s="14" customFormat="1" ht="15" customHeight="1">
      <c r="A2615" s="10">
        <v>42853</v>
      </c>
      <c r="B2615" s="3" t="s">
        <v>31</v>
      </c>
      <c r="C2615" s="15" t="s">
        <v>47</v>
      </c>
      <c r="D2615" s="15">
        <v>260</v>
      </c>
      <c r="E2615" s="11">
        <v>500</v>
      </c>
      <c r="F2615" s="3" t="s">
        <v>8</v>
      </c>
      <c r="G2615" s="46">
        <v>14</v>
      </c>
      <c r="H2615" s="3">
        <v>14.6</v>
      </c>
      <c r="I2615" s="46">
        <v>15.5</v>
      </c>
      <c r="J2615" s="55">
        <v>0</v>
      </c>
      <c r="K2615" s="1">
        <f t="shared" ref="K2615" si="3643">(IF(F2615="SELL",G2615-H2615,IF(F2615="BUY",H2615-G2615)))*E2615</f>
        <v>299.99999999999983</v>
      </c>
      <c r="L2615" s="51">
        <f t="shared" ref="L2615" si="3644">(IF(F2615="SELL",IF(I2615="",0,H2615-I2615),IF(F2615="BUY",IF(I2615="",0,I2615-H2615))))*E2615</f>
        <v>450.00000000000017</v>
      </c>
      <c r="M2615" s="52">
        <v>0</v>
      </c>
      <c r="N2615" s="2">
        <f t="shared" si="3592"/>
        <v>1.5</v>
      </c>
      <c r="O2615" s="2">
        <f t="shared" si="3615"/>
        <v>750</v>
      </c>
      <c r="P2615" s="13"/>
      <c r="Q2615" s="13"/>
      <c r="R2615" s="13"/>
      <c r="S2615" s="13"/>
      <c r="T2615" s="13"/>
      <c r="U2615" s="13"/>
      <c r="V2615" s="13"/>
      <c r="W2615" s="13"/>
      <c r="X2615" s="13"/>
      <c r="Y2615" s="13"/>
      <c r="Z2615" s="13"/>
      <c r="AA2615" s="13"/>
      <c r="AB2615" s="13"/>
      <c r="AC2615" s="13"/>
      <c r="AD2615" s="13"/>
      <c r="AE2615" s="13"/>
      <c r="AF2615" s="13"/>
      <c r="AG2615" s="13"/>
    </row>
    <row r="2616" spans="1:33" s="14" customFormat="1" ht="15" customHeight="1">
      <c r="A2616" s="10">
        <v>42853</v>
      </c>
      <c r="B2616" s="3" t="s">
        <v>100</v>
      </c>
      <c r="C2616" s="15" t="s">
        <v>47</v>
      </c>
      <c r="D2616" s="15">
        <v>1800</v>
      </c>
      <c r="E2616" s="11">
        <v>500</v>
      </c>
      <c r="F2616" s="3" t="s">
        <v>8</v>
      </c>
      <c r="G2616" s="46">
        <v>17</v>
      </c>
      <c r="H2616" s="3">
        <v>19</v>
      </c>
      <c r="I2616" s="46">
        <v>0</v>
      </c>
      <c r="J2616" s="55">
        <v>0</v>
      </c>
      <c r="K2616" s="1">
        <f t="shared" ref="K2616" si="3645">(IF(F2616="SELL",G2616-H2616,IF(F2616="BUY",H2616-G2616)))*E2616</f>
        <v>1000</v>
      </c>
      <c r="L2616" s="51">
        <v>0</v>
      </c>
      <c r="M2616" s="52">
        <v>0</v>
      </c>
      <c r="N2616" s="2">
        <f t="shared" si="3592"/>
        <v>2</v>
      </c>
      <c r="O2616" s="2">
        <f t="shared" si="3615"/>
        <v>1000</v>
      </c>
      <c r="P2616" s="13"/>
      <c r="Q2616" s="13"/>
      <c r="R2616" s="13"/>
      <c r="S2616" s="13"/>
      <c r="T2616" s="13"/>
      <c r="U2616" s="13"/>
      <c r="V2616" s="13"/>
      <c r="W2616" s="13"/>
      <c r="X2616" s="13"/>
      <c r="Y2616" s="13"/>
      <c r="Z2616" s="13"/>
      <c r="AA2616" s="13"/>
      <c r="AB2616" s="13"/>
      <c r="AC2616" s="13"/>
      <c r="AD2616" s="13"/>
      <c r="AE2616" s="13"/>
      <c r="AF2616" s="13"/>
      <c r="AG2616" s="13"/>
    </row>
    <row r="2617" spans="1:33" s="14" customFormat="1" ht="15" customHeight="1">
      <c r="A2617" s="10">
        <v>42852</v>
      </c>
      <c r="B2617" s="3" t="s">
        <v>54</v>
      </c>
      <c r="C2617" s="15" t="s">
        <v>46</v>
      </c>
      <c r="D2617" s="15">
        <v>100</v>
      </c>
      <c r="E2617" s="11">
        <v>2000</v>
      </c>
      <c r="F2617" s="3" t="s">
        <v>8</v>
      </c>
      <c r="G2617" s="46">
        <v>4.3</v>
      </c>
      <c r="H2617" s="3">
        <v>4.3</v>
      </c>
      <c r="I2617" s="46">
        <v>0</v>
      </c>
      <c r="J2617" s="55">
        <v>0</v>
      </c>
      <c r="K2617" s="1">
        <f t="shared" ref="K2617" si="3646">(IF(F2617="SELL",G2617-H2617,IF(F2617="BUY",H2617-G2617)))*E2617</f>
        <v>0</v>
      </c>
      <c r="L2617" s="51">
        <v>0</v>
      </c>
      <c r="M2617" s="52">
        <v>0</v>
      </c>
      <c r="N2617" s="2">
        <f t="shared" si="3592"/>
        <v>0</v>
      </c>
      <c r="O2617" s="2">
        <f t="shared" si="3615"/>
        <v>0</v>
      </c>
      <c r="P2617" s="13"/>
      <c r="Q2617" s="13"/>
      <c r="R2617" s="13"/>
      <c r="S2617" s="13"/>
      <c r="T2617" s="13"/>
      <c r="U2617" s="13"/>
      <c r="V2617" s="13"/>
      <c r="W2617" s="13"/>
      <c r="X2617" s="13"/>
      <c r="Y2617" s="13"/>
      <c r="Z2617" s="13"/>
      <c r="AA2617" s="13"/>
      <c r="AB2617" s="13"/>
      <c r="AC2617" s="13"/>
      <c r="AD2617" s="13"/>
      <c r="AE2617" s="13"/>
      <c r="AF2617" s="13"/>
      <c r="AG2617" s="13"/>
    </row>
    <row r="2618" spans="1:33" s="14" customFormat="1" ht="15" customHeight="1">
      <c r="A2618" s="10">
        <v>42852</v>
      </c>
      <c r="B2618" s="3" t="s">
        <v>25</v>
      </c>
      <c r="C2618" s="15" t="s">
        <v>46</v>
      </c>
      <c r="D2618" s="15">
        <v>430</v>
      </c>
      <c r="E2618" s="11">
        <v>5000</v>
      </c>
      <c r="F2618" s="3" t="s">
        <v>8</v>
      </c>
      <c r="G2618" s="46">
        <v>6.5</v>
      </c>
      <c r="H2618" s="3">
        <v>6.9</v>
      </c>
      <c r="I2618" s="46">
        <v>7.4</v>
      </c>
      <c r="J2618" s="55">
        <v>0</v>
      </c>
      <c r="K2618" s="1">
        <f t="shared" ref="K2618" si="3647">(IF(F2618="SELL",G2618-H2618,IF(F2618="BUY",H2618-G2618)))*E2618</f>
        <v>2000.0000000000018</v>
      </c>
      <c r="L2618" s="51">
        <f t="shared" ref="L2618:L2620" si="3648">(IF(F2618="SELL",IF(I2618="",0,H2618-I2618),IF(F2618="BUY",IF(I2618="",0,I2618-H2618))))*E2618</f>
        <v>2500</v>
      </c>
      <c r="M2618" s="52">
        <v>0</v>
      </c>
      <c r="N2618" s="2">
        <f t="shared" si="3592"/>
        <v>0.90000000000000036</v>
      </c>
      <c r="O2618" s="2">
        <f t="shared" si="3615"/>
        <v>4500.0000000000018</v>
      </c>
      <c r="P2618" s="13"/>
      <c r="Q2618" s="13"/>
      <c r="R2618" s="13"/>
      <c r="S2618" s="13"/>
      <c r="T2618" s="13"/>
      <c r="U2618" s="13"/>
      <c r="V2618" s="13"/>
      <c r="W2618" s="13"/>
      <c r="X2618" s="13"/>
      <c r="Y2618" s="13"/>
      <c r="Z2618" s="13"/>
      <c r="AA2618" s="13"/>
      <c r="AB2618" s="13"/>
      <c r="AC2618" s="13"/>
      <c r="AD2618" s="13"/>
      <c r="AE2618" s="13"/>
      <c r="AF2618" s="13"/>
      <c r="AG2618" s="13"/>
    </row>
    <row r="2619" spans="1:33" s="14" customFormat="1" ht="15" customHeight="1">
      <c r="A2619" s="10">
        <v>42852</v>
      </c>
      <c r="B2619" s="3" t="s">
        <v>54</v>
      </c>
      <c r="C2619" s="15" t="s">
        <v>47</v>
      </c>
      <c r="D2619" s="15">
        <v>920</v>
      </c>
      <c r="E2619" s="11">
        <v>2000</v>
      </c>
      <c r="F2619" s="3" t="s">
        <v>8</v>
      </c>
      <c r="G2619" s="46">
        <v>9.5</v>
      </c>
      <c r="H2619" s="3">
        <v>10</v>
      </c>
      <c r="I2619" s="46">
        <v>0</v>
      </c>
      <c r="J2619" s="55">
        <v>0</v>
      </c>
      <c r="K2619" s="1">
        <f t="shared" ref="K2619" si="3649">(IF(F2619="SELL",G2619-H2619,IF(F2619="BUY",H2619-G2619)))*E2619</f>
        <v>1000</v>
      </c>
      <c r="L2619" s="51">
        <v>0</v>
      </c>
      <c r="M2619" s="52">
        <v>0</v>
      </c>
      <c r="N2619" s="2">
        <f t="shared" si="3592"/>
        <v>0.5</v>
      </c>
      <c r="O2619" s="2">
        <f t="shared" si="3615"/>
        <v>1000</v>
      </c>
      <c r="P2619" s="13"/>
      <c r="Q2619" s="13"/>
      <c r="R2619" s="13"/>
      <c r="S2619" s="13"/>
      <c r="T2619" s="13"/>
      <c r="U2619" s="13"/>
      <c r="V2619" s="13"/>
      <c r="W2619" s="13"/>
      <c r="X2619" s="13"/>
      <c r="Y2619" s="13"/>
      <c r="Z2619" s="13"/>
      <c r="AA2619" s="13"/>
      <c r="AB2619" s="13"/>
      <c r="AC2619" s="13"/>
      <c r="AD2619" s="13"/>
      <c r="AE2619" s="13"/>
      <c r="AF2619" s="13"/>
      <c r="AG2619" s="13"/>
    </row>
    <row r="2620" spans="1:33" s="14" customFormat="1" ht="15" customHeight="1">
      <c r="A2620" s="10">
        <v>42852</v>
      </c>
      <c r="B2620" s="3" t="s">
        <v>82</v>
      </c>
      <c r="C2620" s="15" t="s">
        <v>47</v>
      </c>
      <c r="D2620" s="15">
        <v>140</v>
      </c>
      <c r="E2620" s="11">
        <v>7000</v>
      </c>
      <c r="F2620" s="3" t="s">
        <v>8</v>
      </c>
      <c r="G2620" s="46">
        <v>4.8</v>
      </c>
      <c r="H2620" s="3">
        <v>5</v>
      </c>
      <c r="I2620" s="46">
        <v>5.3</v>
      </c>
      <c r="J2620" s="55">
        <v>0</v>
      </c>
      <c r="K2620" s="1">
        <f t="shared" ref="K2620" si="3650">(IF(F2620="SELL",G2620-H2620,IF(F2620="BUY",H2620-G2620)))*E2620</f>
        <v>1400.0000000000011</v>
      </c>
      <c r="L2620" s="51">
        <f t="shared" si="3648"/>
        <v>2099.9999999999986</v>
      </c>
      <c r="M2620" s="52">
        <v>0</v>
      </c>
      <c r="N2620" s="2">
        <f t="shared" si="3592"/>
        <v>0.5</v>
      </c>
      <c r="O2620" s="2">
        <f t="shared" si="3615"/>
        <v>3500</v>
      </c>
      <c r="P2620" s="13"/>
      <c r="Q2620" s="13"/>
      <c r="R2620" s="13"/>
      <c r="S2620" s="13"/>
      <c r="T2620" s="13"/>
      <c r="U2620" s="13"/>
      <c r="V2620" s="13"/>
      <c r="W2620" s="13"/>
      <c r="X2620" s="13"/>
      <c r="Y2620" s="13"/>
      <c r="Z2620" s="13"/>
      <c r="AA2620" s="13"/>
      <c r="AB2620" s="13"/>
      <c r="AC2620" s="13"/>
      <c r="AD2620" s="13"/>
      <c r="AE2620" s="13"/>
      <c r="AF2620" s="13"/>
      <c r="AG2620" s="13"/>
    </row>
    <row r="2621" spans="1:33" s="14" customFormat="1" ht="15" customHeight="1">
      <c r="A2621" s="10">
        <v>42852</v>
      </c>
      <c r="B2621" s="3" t="s">
        <v>54</v>
      </c>
      <c r="C2621" s="15" t="s">
        <v>47</v>
      </c>
      <c r="D2621" s="15">
        <v>920</v>
      </c>
      <c r="E2621" s="11">
        <v>2000</v>
      </c>
      <c r="F2621" s="3" t="s">
        <v>8</v>
      </c>
      <c r="G2621" s="46">
        <v>16</v>
      </c>
      <c r="H2621" s="3">
        <v>16.5</v>
      </c>
      <c r="I2621" s="46">
        <v>17.2</v>
      </c>
      <c r="J2621" s="55">
        <v>20</v>
      </c>
      <c r="K2621" s="1">
        <f t="shared" ref="K2621" si="3651">(IF(F2621="SELL",G2621-H2621,IF(F2621="BUY",H2621-G2621)))*E2621</f>
        <v>1000</v>
      </c>
      <c r="L2621" s="51">
        <f t="shared" ref="L2621" si="3652">(IF(F2621="SELL",IF(I2621="",0,H2621-I2621),IF(F2621="BUY",IF(I2621="",0,I2621-H2621))))*E2621</f>
        <v>1399.9999999999986</v>
      </c>
      <c r="M2621" s="52">
        <f>(IF(F2621="SELL",IF(J2621="",0,I2621-J2621),IF(F2621="BUY",IF(J2621="",0,(J2621-I2621)))))*E2621</f>
        <v>5600.0000000000018</v>
      </c>
      <c r="N2621" s="2">
        <f t="shared" si="3592"/>
        <v>4</v>
      </c>
      <c r="O2621" s="2">
        <f t="shared" si="3615"/>
        <v>8000</v>
      </c>
      <c r="P2621" s="13"/>
      <c r="Q2621" s="13"/>
      <c r="R2621" s="13"/>
      <c r="S2621" s="13"/>
      <c r="T2621" s="13"/>
      <c r="U2621" s="13"/>
      <c r="V2621" s="13"/>
      <c r="W2621" s="13"/>
      <c r="X2621" s="13"/>
      <c r="Y2621" s="13"/>
      <c r="Z2621" s="13"/>
      <c r="AA2621" s="13"/>
      <c r="AB2621" s="13"/>
      <c r="AC2621" s="13"/>
      <c r="AD2621" s="13"/>
      <c r="AE2621" s="13"/>
      <c r="AF2621" s="13"/>
      <c r="AG2621" s="13"/>
    </row>
    <row r="2622" spans="1:33" s="14" customFormat="1" ht="15" customHeight="1">
      <c r="A2622" s="10">
        <v>42851</v>
      </c>
      <c r="B2622" s="3" t="s">
        <v>34</v>
      </c>
      <c r="C2622" s="15" t="s">
        <v>47</v>
      </c>
      <c r="D2622" s="15">
        <v>200</v>
      </c>
      <c r="E2622" s="11">
        <v>3500</v>
      </c>
      <c r="F2622" s="3" t="s">
        <v>8</v>
      </c>
      <c r="G2622" s="46">
        <v>3.3</v>
      </c>
      <c r="H2622" s="3">
        <v>3.3</v>
      </c>
      <c r="I2622" s="46">
        <v>0</v>
      </c>
      <c r="J2622" s="55">
        <v>0</v>
      </c>
      <c r="K2622" s="1">
        <f t="shared" ref="K2622" si="3653">(IF(F2622="SELL",G2622-H2622,IF(F2622="BUY",H2622-G2622)))*E2622</f>
        <v>0</v>
      </c>
      <c r="L2622" s="51">
        <v>0</v>
      </c>
      <c r="M2622" s="52">
        <f>(IF(F2622="SELL",IF(J2622="",0,I2622-J2622),IF(F2622="BUY",IF(J2622="",0,(J2622-I2622)))))*E2622</f>
        <v>0</v>
      </c>
      <c r="N2622" s="2">
        <f t="shared" si="3592"/>
        <v>0</v>
      </c>
      <c r="O2622" s="2">
        <f t="shared" si="3615"/>
        <v>0</v>
      </c>
      <c r="P2622" s="13"/>
      <c r="Q2622" s="13"/>
      <c r="R2622" s="13"/>
      <c r="S2622" s="13"/>
      <c r="T2622" s="13"/>
      <c r="U2622" s="13"/>
      <c r="V2622" s="13"/>
      <c r="W2622" s="13"/>
      <c r="X2622" s="13"/>
      <c r="Y2622" s="13"/>
      <c r="Z2622" s="13"/>
      <c r="AA2622" s="13"/>
      <c r="AB2622" s="13"/>
      <c r="AC2622" s="13"/>
      <c r="AD2622" s="13"/>
      <c r="AE2622" s="13"/>
      <c r="AF2622" s="13"/>
      <c r="AG2622" s="13"/>
    </row>
    <row r="2623" spans="1:33" s="14" customFormat="1" ht="15" customHeight="1">
      <c r="A2623" s="10">
        <v>42851</v>
      </c>
      <c r="B2623" s="3" t="s">
        <v>79</v>
      </c>
      <c r="C2623" s="15" t="s">
        <v>47</v>
      </c>
      <c r="D2623" s="15">
        <v>200</v>
      </c>
      <c r="E2623" s="11">
        <v>3500</v>
      </c>
      <c r="F2623" s="3" t="s">
        <v>8</v>
      </c>
      <c r="G2623" s="46">
        <v>11</v>
      </c>
      <c r="H2623" s="3">
        <v>11.3</v>
      </c>
      <c r="I2623" s="46">
        <v>11.7</v>
      </c>
      <c r="J2623" s="55">
        <v>13</v>
      </c>
      <c r="K2623" s="1">
        <f t="shared" ref="K2623" si="3654">(IF(F2623="SELL",G2623-H2623,IF(F2623="BUY",H2623-G2623)))*E2623</f>
        <v>1050.0000000000025</v>
      </c>
      <c r="L2623" s="51">
        <f t="shared" ref="L2623" si="3655">(IF(F2623="SELL",IF(I2623="",0,H2623-I2623),IF(F2623="BUY",IF(I2623="",0,I2623-H2623))))*E2623</f>
        <v>1399.999999999995</v>
      </c>
      <c r="M2623" s="52">
        <f>(IF(F2623="SELL",IF(J2623="",0,I2623-J2623),IF(F2623="BUY",IF(J2623="",0,(J2623-I2623)))))*E2623</f>
        <v>4550.0000000000027</v>
      </c>
      <c r="N2623" s="2">
        <f t="shared" si="3592"/>
        <v>2</v>
      </c>
      <c r="O2623" s="2">
        <f t="shared" si="3615"/>
        <v>7000</v>
      </c>
      <c r="P2623" s="13"/>
      <c r="Q2623" s="13"/>
      <c r="R2623" s="13"/>
      <c r="S2623" s="13"/>
      <c r="T2623" s="13"/>
      <c r="U2623" s="13"/>
      <c r="V2623" s="13"/>
      <c r="W2623" s="13"/>
      <c r="X2623" s="13"/>
      <c r="Y2623" s="13"/>
      <c r="Z2623" s="13"/>
      <c r="AA2623" s="13"/>
      <c r="AB2623" s="13"/>
      <c r="AC2623" s="13"/>
      <c r="AD2623" s="13"/>
      <c r="AE2623" s="13"/>
      <c r="AF2623" s="13"/>
      <c r="AG2623" s="13"/>
    </row>
    <row r="2624" spans="1:33" s="14" customFormat="1" ht="15" customHeight="1">
      <c r="A2624" s="10">
        <v>42851</v>
      </c>
      <c r="B2624" s="3" t="s">
        <v>83</v>
      </c>
      <c r="C2624" s="15" t="s">
        <v>47</v>
      </c>
      <c r="D2624" s="15">
        <v>2200</v>
      </c>
      <c r="E2624" s="11">
        <v>40</v>
      </c>
      <c r="F2624" s="3" t="s">
        <v>8</v>
      </c>
      <c r="G2624" s="46">
        <v>170</v>
      </c>
      <c r="H2624" s="3">
        <v>185</v>
      </c>
      <c r="I2624" s="46">
        <v>210</v>
      </c>
      <c r="J2624" s="55">
        <v>0</v>
      </c>
      <c r="K2624" s="1">
        <f t="shared" ref="K2624" si="3656">(IF(F2624="SELL",G2624-H2624,IF(F2624="BUY",H2624-G2624)))*E2624</f>
        <v>600</v>
      </c>
      <c r="L2624" s="51">
        <f t="shared" ref="L2624" si="3657">(IF(F2624="SELL",IF(I2624="",0,H2624-I2624),IF(F2624="BUY",IF(I2624="",0,I2624-H2624))))*E2624</f>
        <v>1000</v>
      </c>
      <c r="M2624" s="52">
        <v>0</v>
      </c>
      <c r="N2624" s="2">
        <f t="shared" si="3592"/>
        <v>40</v>
      </c>
      <c r="O2624" s="2">
        <f t="shared" si="3615"/>
        <v>1600</v>
      </c>
      <c r="P2624" s="13"/>
      <c r="Q2624" s="13"/>
      <c r="R2624" s="13"/>
      <c r="S2624" s="13"/>
      <c r="T2624" s="13"/>
      <c r="U2624" s="13"/>
      <c r="V2624" s="13"/>
      <c r="W2624" s="13"/>
      <c r="X2624" s="13"/>
      <c r="Y2624" s="13"/>
      <c r="Z2624" s="13"/>
      <c r="AA2624" s="13"/>
      <c r="AB2624" s="13"/>
      <c r="AC2624" s="13"/>
      <c r="AD2624" s="13"/>
      <c r="AE2624" s="13"/>
      <c r="AF2624" s="13"/>
      <c r="AG2624" s="13"/>
    </row>
    <row r="2625" spans="1:33" s="14" customFormat="1" ht="15" customHeight="1">
      <c r="A2625" s="10">
        <v>42851</v>
      </c>
      <c r="B2625" s="3" t="s">
        <v>99</v>
      </c>
      <c r="C2625" s="15" t="s">
        <v>47</v>
      </c>
      <c r="D2625" s="15">
        <v>430</v>
      </c>
      <c r="E2625" s="11">
        <v>3000</v>
      </c>
      <c r="F2625" s="3" t="s">
        <v>8</v>
      </c>
      <c r="G2625" s="46">
        <v>6.8</v>
      </c>
      <c r="H2625" s="3">
        <v>7.2</v>
      </c>
      <c r="I2625" s="46">
        <v>7.5</v>
      </c>
      <c r="J2625" s="55">
        <v>9</v>
      </c>
      <c r="K2625" s="1">
        <f t="shared" ref="K2625" si="3658">(IF(F2625="SELL",G2625-H2625,IF(F2625="BUY",H2625-G2625)))*E2625</f>
        <v>1200.0000000000011</v>
      </c>
      <c r="L2625" s="51">
        <f t="shared" ref="L2625" si="3659">(IF(F2625="SELL",IF(I2625="",0,H2625-I2625),IF(F2625="BUY",IF(I2625="",0,I2625-H2625))))*E2625</f>
        <v>899.99999999999943</v>
      </c>
      <c r="M2625" s="52">
        <f>(IF(F2625="SELL",IF(J2625="",0,I2625-J2625),IF(F2625="BUY",IF(J2625="",0,(J2625-I2625)))))*E2625</f>
        <v>4500</v>
      </c>
      <c r="N2625" s="2">
        <f t="shared" si="3592"/>
        <v>2.2000000000000002</v>
      </c>
      <c r="O2625" s="2">
        <f t="shared" si="3615"/>
        <v>6600.0000000000009</v>
      </c>
      <c r="P2625" s="13"/>
      <c r="Q2625" s="13"/>
      <c r="R2625" s="13"/>
      <c r="S2625" s="13"/>
      <c r="T2625" s="13"/>
      <c r="U2625" s="13"/>
      <c r="V2625" s="13"/>
      <c r="W2625" s="13"/>
      <c r="X2625" s="13"/>
      <c r="Y2625" s="13"/>
      <c r="Z2625" s="13"/>
      <c r="AA2625" s="13"/>
      <c r="AB2625" s="13"/>
      <c r="AC2625" s="13"/>
      <c r="AD2625" s="13"/>
      <c r="AE2625" s="13"/>
      <c r="AF2625" s="13"/>
      <c r="AG2625" s="13"/>
    </row>
    <row r="2626" spans="1:33" s="14" customFormat="1" ht="15" customHeight="1">
      <c r="A2626" s="10">
        <v>42851</v>
      </c>
      <c r="B2626" s="3" t="s">
        <v>57</v>
      </c>
      <c r="C2626" s="15" t="s">
        <v>47</v>
      </c>
      <c r="D2626" s="15">
        <v>150</v>
      </c>
      <c r="E2626" s="11">
        <v>6000</v>
      </c>
      <c r="F2626" s="3" t="s">
        <v>8</v>
      </c>
      <c r="G2626" s="46">
        <v>5</v>
      </c>
      <c r="H2626" s="3">
        <v>5.2</v>
      </c>
      <c r="I2626" s="46">
        <v>5.5</v>
      </c>
      <c r="J2626" s="55">
        <v>6.3</v>
      </c>
      <c r="K2626" s="1">
        <f t="shared" ref="K2626" si="3660">(IF(F2626="SELL",G2626-H2626,IF(F2626="BUY",H2626-G2626)))*E2626</f>
        <v>1200.0000000000011</v>
      </c>
      <c r="L2626" s="51">
        <f t="shared" ref="L2626" si="3661">(IF(F2626="SELL",IF(I2626="",0,H2626-I2626),IF(F2626="BUY",IF(I2626="",0,I2626-H2626))))*E2626</f>
        <v>1799.9999999999989</v>
      </c>
      <c r="M2626" s="52">
        <f>(IF(F2626="SELL",IF(J2626="",0,I2626-J2626),IF(F2626="BUY",IF(J2626="",0,(J2626-I2626)))))*E2626</f>
        <v>4799.9999999999991</v>
      </c>
      <c r="N2626" s="2">
        <f t="shared" si="3592"/>
        <v>1.2999999999999998</v>
      </c>
      <c r="O2626" s="2">
        <f t="shared" si="3615"/>
        <v>7799.9999999999991</v>
      </c>
      <c r="P2626" s="13"/>
      <c r="Q2626" s="13"/>
      <c r="R2626" s="13"/>
      <c r="S2626" s="13"/>
      <c r="T2626" s="13"/>
      <c r="U2626" s="13"/>
      <c r="V2626" s="13"/>
      <c r="W2626" s="13"/>
      <c r="X2626" s="13"/>
      <c r="Y2626" s="13"/>
      <c r="Z2626" s="13"/>
      <c r="AA2626" s="13"/>
      <c r="AB2626" s="13"/>
      <c r="AC2626" s="13"/>
      <c r="AD2626" s="13"/>
      <c r="AE2626" s="13"/>
      <c r="AF2626" s="13"/>
      <c r="AG2626" s="13"/>
    </row>
    <row r="2627" spans="1:33" s="14" customFormat="1" ht="15" customHeight="1">
      <c r="A2627" s="10">
        <v>42850</v>
      </c>
      <c r="B2627" s="3" t="s">
        <v>76</v>
      </c>
      <c r="C2627" s="15" t="s">
        <v>47</v>
      </c>
      <c r="D2627" s="15">
        <v>9100</v>
      </c>
      <c r="E2627" s="11">
        <v>75</v>
      </c>
      <c r="F2627" s="3" t="s">
        <v>8</v>
      </c>
      <c r="G2627" s="46">
        <v>157</v>
      </c>
      <c r="H2627" s="3">
        <v>165</v>
      </c>
      <c r="I2627" s="46">
        <v>175</v>
      </c>
      <c r="J2627" s="55">
        <v>0</v>
      </c>
      <c r="K2627" s="1">
        <f t="shared" ref="K2627" si="3662">(IF(F2627="SELL",G2627-H2627,IF(F2627="BUY",H2627-G2627)))*E2627</f>
        <v>600</v>
      </c>
      <c r="L2627" s="51">
        <f t="shared" ref="L2627" si="3663">(IF(F2627="SELL",IF(I2627="",0,H2627-I2627),IF(F2627="BUY",IF(I2627="",0,I2627-H2627))))*E2627</f>
        <v>750</v>
      </c>
      <c r="M2627" s="52">
        <v>0</v>
      </c>
      <c r="N2627" s="2">
        <f t="shared" si="3592"/>
        <v>18</v>
      </c>
      <c r="O2627" s="2">
        <f t="shared" si="3615"/>
        <v>1350</v>
      </c>
      <c r="P2627" s="13"/>
      <c r="Q2627" s="13"/>
      <c r="R2627" s="13"/>
      <c r="S2627" s="13"/>
      <c r="T2627" s="13"/>
      <c r="U2627" s="13"/>
      <c r="V2627" s="13"/>
      <c r="W2627" s="13"/>
      <c r="X2627" s="13"/>
      <c r="Y2627" s="13"/>
      <c r="Z2627" s="13"/>
      <c r="AA2627" s="13"/>
      <c r="AB2627" s="13"/>
      <c r="AC2627" s="13"/>
      <c r="AD2627" s="13"/>
      <c r="AE2627" s="13"/>
      <c r="AF2627" s="13"/>
      <c r="AG2627" s="13"/>
    </row>
    <row r="2628" spans="1:33" s="14" customFormat="1" ht="15" customHeight="1">
      <c r="A2628" s="10">
        <v>42850</v>
      </c>
      <c r="B2628" s="3" t="s">
        <v>82</v>
      </c>
      <c r="C2628" s="15" t="s">
        <v>47</v>
      </c>
      <c r="D2628" s="15">
        <v>150</v>
      </c>
      <c r="E2628" s="11">
        <v>7000</v>
      </c>
      <c r="F2628" s="3" t="s">
        <v>8</v>
      </c>
      <c r="G2628" s="46">
        <v>6.8</v>
      </c>
      <c r="H2628" s="3">
        <v>7</v>
      </c>
      <c r="I2628" s="46">
        <v>7.2</v>
      </c>
      <c r="J2628" s="55">
        <v>8.1999999999999993</v>
      </c>
      <c r="K2628" s="1">
        <f t="shared" ref="K2628" si="3664">(IF(F2628="SELL",G2628-H2628,IF(F2628="BUY",H2628-G2628)))*E2628</f>
        <v>1400.0000000000011</v>
      </c>
      <c r="L2628" s="51">
        <f t="shared" ref="L2628" si="3665">(IF(F2628="SELL",IF(I2628="",0,H2628-I2628),IF(F2628="BUY",IF(I2628="",0,I2628-H2628))))*E2628</f>
        <v>1400.0000000000011</v>
      </c>
      <c r="M2628" s="52">
        <f>(IF(F2628="SELL",IF(J2628="",0,I2628-J2628),IF(F2628="BUY",IF(J2628="",0,(J2628-I2628)))))*E2628</f>
        <v>6999.9999999999936</v>
      </c>
      <c r="N2628" s="2">
        <f t="shared" si="3592"/>
        <v>1.3999999999999995</v>
      </c>
      <c r="O2628" s="2">
        <f t="shared" si="3615"/>
        <v>9799.9999999999964</v>
      </c>
      <c r="P2628" s="13"/>
      <c r="Q2628" s="13"/>
      <c r="R2628" s="13"/>
      <c r="S2628" s="13"/>
      <c r="T2628" s="13"/>
      <c r="U2628" s="13"/>
      <c r="V2628" s="13"/>
      <c r="W2628" s="13"/>
      <c r="X2628" s="13"/>
      <c r="Y2628" s="13"/>
      <c r="Z2628" s="13"/>
      <c r="AA2628" s="13"/>
      <c r="AB2628" s="13"/>
      <c r="AC2628" s="13"/>
      <c r="AD2628" s="13"/>
      <c r="AE2628" s="13"/>
      <c r="AF2628" s="13"/>
      <c r="AG2628" s="13"/>
    </row>
    <row r="2629" spans="1:33" s="14" customFormat="1" ht="15" customHeight="1">
      <c r="A2629" s="10">
        <v>42850</v>
      </c>
      <c r="B2629" s="3" t="s">
        <v>98</v>
      </c>
      <c r="C2629" s="15" t="s">
        <v>47</v>
      </c>
      <c r="D2629" s="15">
        <v>1120</v>
      </c>
      <c r="E2629" s="11">
        <v>600</v>
      </c>
      <c r="F2629" s="3" t="s">
        <v>8</v>
      </c>
      <c r="G2629" s="46">
        <v>30</v>
      </c>
      <c r="H2629" s="3">
        <v>32</v>
      </c>
      <c r="I2629" s="46">
        <v>34</v>
      </c>
      <c r="J2629" s="55">
        <v>45</v>
      </c>
      <c r="K2629" s="1">
        <f t="shared" ref="K2629" si="3666">(IF(F2629="SELL",G2629-H2629,IF(F2629="BUY",H2629-G2629)))*E2629</f>
        <v>1200</v>
      </c>
      <c r="L2629" s="51">
        <f t="shared" ref="L2629" si="3667">(IF(F2629="SELL",IF(I2629="",0,H2629-I2629),IF(F2629="BUY",IF(I2629="",0,I2629-H2629))))*E2629</f>
        <v>1200</v>
      </c>
      <c r="M2629" s="52">
        <f>(IF(F2629="SELL",IF(J2629="",0,I2629-J2629),IF(F2629="BUY",IF(J2629="",0,(J2629-I2629)))))*E2629</f>
        <v>6600</v>
      </c>
      <c r="N2629" s="2">
        <f t="shared" si="3592"/>
        <v>15</v>
      </c>
      <c r="O2629" s="2">
        <f t="shared" si="3615"/>
        <v>9000</v>
      </c>
      <c r="P2629" s="13"/>
      <c r="Q2629" s="13"/>
      <c r="R2629" s="13"/>
      <c r="S2629" s="13"/>
      <c r="T2629" s="13"/>
      <c r="U2629" s="13"/>
      <c r="V2629" s="13"/>
      <c r="W2629" s="13"/>
      <c r="X2629" s="13"/>
      <c r="Y2629" s="13"/>
      <c r="Z2629" s="13"/>
      <c r="AA2629" s="13"/>
      <c r="AB2629" s="13"/>
      <c r="AC2629" s="13"/>
      <c r="AD2629" s="13"/>
      <c r="AE2629" s="13"/>
      <c r="AF2629" s="13"/>
      <c r="AG2629" s="13"/>
    </row>
    <row r="2630" spans="1:33" s="14" customFormat="1" ht="15" customHeight="1">
      <c r="A2630" s="10">
        <v>42850</v>
      </c>
      <c r="B2630" s="3" t="s">
        <v>93</v>
      </c>
      <c r="C2630" s="15" t="s">
        <v>47</v>
      </c>
      <c r="D2630" s="15">
        <v>170</v>
      </c>
      <c r="E2630" s="11">
        <v>7000</v>
      </c>
      <c r="F2630" s="3" t="s">
        <v>8</v>
      </c>
      <c r="G2630" s="46">
        <v>4.7</v>
      </c>
      <c r="H2630" s="3">
        <v>4.9000000000000004</v>
      </c>
      <c r="I2630" s="46">
        <v>5.15</v>
      </c>
      <c r="J2630" s="55">
        <v>0</v>
      </c>
      <c r="K2630" s="1">
        <f t="shared" ref="K2630:K2642" si="3668">(IF(F2630="SELL",G2630-H2630,IF(F2630="BUY",H2630-G2630)))*E2630</f>
        <v>1400.0000000000011</v>
      </c>
      <c r="L2630" s="51">
        <f t="shared" ref="L2630" si="3669">(IF(F2630="SELL",IF(I2630="",0,H2630-I2630),IF(F2630="BUY",IF(I2630="",0,I2630-H2630))))*E2630</f>
        <v>1750</v>
      </c>
      <c r="M2630" s="52">
        <v>0</v>
      </c>
      <c r="N2630" s="2">
        <f t="shared" si="3592"/>
        <v>0.45000000000000012</v>
      </c>
      <c r="O2630" s="2">
        <f t="shared" si="3615"/>
        <v>3150.0000000000009</v>
      </c>
      <c r="P2630" s="13"/>
      <c r="Q2630" s="13"/>
      <c r="R2630" s="13"/>
      <c r="S2630" s="13"/>
      <c r="T2630" s="13"/>
      <c r="U2630" s="13"/>
      <c r="V2630" s="13"/>
      <c r="W2630" s="13"/>
      <c r="X2630" s="13"/>
      <c r="Y2630" s="13"/>
      <c r="Z2630" s="13"/>
      <c r="AA2630" s="13"/>
      <c r="AB2630" s="13"/>
      <c r="AC2630" s="13"/>
      <c r="AD2630" s="13"/>
      <c r="AE2630" s="13"/>
      <c r="AF2630" s="13"/>
      <c r="AG2630" s="13"/>
    </row>
    <row r="2631" spans="1:33" s="14" customFormat="1" ht="15" customHeight="1">
      <c r="A2631" s="10">
        <v>42849</v>
      </c>
      <c r="B2631" s="3" t="s">
        <v>97</v>
      </c>
      <c r="C2631" s="15" t="s">
        <v>47</v>
      </c>
      <c r="D2631" s="15">
        <v>205</v>
      </c>
      <c r="E2631" s="11">
        <v>6000</v>
      </c>
      <c r="F2631" s="3" t="s">
        <v>8</v>
      </c>
      <c r="G2631" s="46">
        <v>4.0999999999999996</v>
      </c>
      <c r="H2631" s="3">
        <v>4.3</v>
      </c>
      <c r="I2631" s="46">
        <v>0</v>
      </c>
      <c r="J2631" s="55">
        <v>0</v>
      </c>
      <c r="K2631" s="1">
        <f t="shared" si="3668"/>
        <v>1200.0000000000011</v>
      </c>
      <c r="L2631" s="51">
        <v>0</v>
      </c>
      <c r="M2631" s="52">
        <v>0</v>
      </c>
      <c r="N2631" s="2">
        <f t="shared" si="3592"/>
        <v>0.20000000000000018</v>
      </c>
      <c r="O2631" s="2">
        <f t="shared" si="3615"/>
        <v>1200.0000000000011</v>
      </c>
      <c r="P2631" s="13"/>
      <c r="Q2631" s="13"/>
      <c r="R2631" s="13"/>
      <c r="S2631" s="13"/>
      <c r="T2631" s="13"/>
      <c r="U2631" s="13"/>
      <c r="V2631" s="13"/>
      <c r="W2631" s="13"/>
      <c r="X2631" s="13"/>
      <c r="Y2631" s="13"/>
      <c r="Z2631" s="13"/>
      <c r="AA2631" s="13"/>
      <c r="AB2631" s="13"/>
      <c r="AC2631" s="13"/>
      <c r="AD2631" s="13"/>
      <c r="AE2631" s="13"/>
      <c r="AF2631" s="13"/>
      <c r="AG2631" s="13"/>
    </row>
    <row r="2632" spans="1:33" s="14" customFormat="1" ht="15" customHeight="1">
      <c r="A2632" s="10">
        <v>42849</v>
      </c>
      <c r="B2632" s="3" t="s">
        <v>66</v>
      </c>
      <c r="C2632" s="15" t="s">
        <v>47</v>
      </c>
      <c r="D2632" s="15">
        <v>510</v>
      </c>
      <c r="E2632" s="11">
        <v>1000</v>
      </c>
      <c r="F2632" s="3" t="s">
        <v>8</v>
      </c>
      <c r="G2632" s="46">
        <v>12.5</v>
      </c>
      <c r="H2632" s="3">
        <v>14</v>
      </c>
      <c r="I2632" s="46">
        <v>0</v>
      </c>
      <c r="J2632" s="55">
        <v>0</v>
      </c>
      <c r="K2632" s="1">
        <f t="shared" si="3668"/>
        <v>1500</v>
      </c>
      <c r="L2632" s="51">
        <v>0</v>
      </c>
      <c r="M2632" s="52">
        <v>0</v>
      </c>
      <c r="N2632" s="2">
        <f t="shared" si="3592"/>
        <v>1.5</v>
      </c>
      <c r="O2632" s="2">
        <f t="shared" si="3615"/>
        <v>1500</v>
      </c>
      <c r="P2632" s="13"/>
      <c r="Q2632" s="13"/>
      <c r="R2632" s="13"/>
      <c r="S2632" s="13"/>
      <c r="T2632" s="13"/>
      <c r="U2632" s="13"/>
      <c r="V2632" s="13"/>
      <c r="W2632" s="13"/>
      <c r="X2632" s="13"/>
      <c r="Y2632" s="13"/>
      <c r="Z2632" s="13"/>
      <c r="AA2632" s="13"/>
      <c r="AB2632" s="13"/>
      <c r="AC2632" s="13"/>
      <c r="AD2632" s="13"/>
      <c r="AE2632" s="13"/>
      <c r="AF2632" s="13"/>
      <c r="AG2632" s="13"/>
    </row>
    <row r="2633" spans="1:33" s="14" customFormat="1" ht="15" customHeight="1">
      <c r="A2633" s="10">
        <v>42849</v>
      </c>
      <c r="B2633" s="3" t="s">
        <v>94</v>
      </c>
      <c r="C2633" s="15" t="s">
        <v>47</v>
      </c>
      <c r="D2633" s="15">
        <v>2300</v>
      </c>
      <c r="E2633" s="11">
        <v>300</v>
      </c>
      <c r="F2633" s="3" t="s">
        <v>8</v>
      </c>
      <c r="G2633" s="46">
        <v>82</v>
      </c>
      <c r="H2633" s="3">
        <v>85.5</v>
      </c>
      <c r="I2633" s="46">
        <v>90</v>
      </c>
      <c r="J2633" s="55">
        <v>0</v>
      </c>
      <c r="K2633" s="1">
        <f t="shared" si="3668"/>
        <v>1050</v>
      </c>
      <c r="L2633" s="51">
        <f t="shared" ref="L2633" si="3670">(IF(F2633="SELL",IF(I2633="",0,H2633-I2633),IF(F2633="BUY",IF(I2633="",0,I2633-H2633))))*E2633</f>
        <v>1350</v>
      </c>
      <c r="M2633" s="52">
        <v>0</v>
      </c>
      <c r="N2633" s="2">
        <f t="shared" si="3592"/>
        <v>8</v>
      </c>
      <c r="O2633" s="2">
        <f t="shared" si="3615"/>
        <v>2400</v>
      </c>
      <c r="P2633" s="13"/>
      <c r="Q2633" s="13"/>
      <c r="R2633" s="13"/>
      <c r="S2633" s="13"/>
      <c r="T2633" s="13"/>
      <c r="U2633" s="13"/>
      <c r="V2633" s="13"/>
      <c r="W2633" s="13"/>
      <c r="X2633" s="13"/>
      <c r="Y2633" s="13"/>
      <c r="Z2633" s="13"/>
      <c r="AA2633" s="13"/>
      <c r="AB2633" s="13"/>
      <c r="AC2633" s="13"/>
      <c r="AD2633" s="13"/>
      <c r="AE2633" s="13"/>
      <c r="AF2633" s="13"/>
      <c r="AG2633" s="13"/>
    </row>
    <row r="2634" spans="1:33" s="14" customFormat="1" ht="15" customHeight="1">
      <c r="A2634" s="10">
        <v>42846</v>
      </c>
      <c r="B2634" s="3" t="s">
        <v>82</v>
      </c>
      <c r="C2634" s="15" t="s">
        <v>47</v>
      </c>
      <c r="D2634" s="15">
        <v>150</v>
      </c>
      <c r="E2634" s="11">
        <v>7000</v>
      </c>
      <c r="F2634" s="3" t="s">
        <v>8</v>
      </c>
      <c r="G2634" s="46">
        <v>5.8</v>
      </c>
      <c r="H2634" s="3">
        <v>6</v>
      </c>
      <c r="I2634" s="46">
        <v>6.3</v>
      </c>
      <c r="J2634" s="55">
        <v>0</v>
      </c>
      <c r="K2634" s="1">
        <f t="shared" si="3668"/>
        <v>1400.0000000000011</v>
      </c>
      <c r="L2634" s="51">
        <f t="shared" ref="L2634" si="3671">(IF(F2634="SELL",IF(I2634="",0,H2634-I2634),IF(F2634="BUY",IF(I2634="",0,I2634-H2634))))*E2634</f>
        <v>2099.9999999999986</v>
      </c>
      <c r="M2634" s="52">
        <v>0</v>
      </c>
      <c r="N2634" s="2">
        <f t="shared" si="3592"/>
        <v>0.5</v>
      </c>
      <c r="O2634" s="2">
        <f t="shared" si="3615"/>
        <v>3500</v>
      </c>
      <c r="P2634" s="13"/>
      <c r="Q2634" s="13"/>
      <c r="R2634" s="13"/>
      <c r="S2634" s="13"/>
      <c r="T2634" s="13"/>
      <c r="U2634" s="13"/>
      <c r="V2634" s="13"/>
      <c r="W2634" s="13"/>
      <c r="X2634" s="13"/>
      <c r="Y2634" s="13"/>
      <c r="Z2634" s="13"/>
      <c r="AA2634" s="13"/>
      <c r="AB2634" s="13"/>
      <c r="AC2634" s="13"/>
      <c r="AD2634" s="13"/>
      <c r="AE2634" s="13"/>
      <c r="AF2634" s="13"/>
      <c r="AG2634" s="13"/>
    </row>
    <row r="2635" spans="1:33" s="14" customFormat="1" ht="15" customHeight="1">
      <c r="A2635" s="10">
        <v>42846</v>
      </c>
      <c r="B2635" s="3" t="s">
        <v>83</v>
      </c>
      <c r="C2635" s="15" t="s">
        <v>47</v>
      </c>
      <c r="D2635" s="15">
        <v>21500</v>
      </c>
      <c r="E2635" s="11">
        <v>40</v>
      </c>
      <c r="F2635" s="3" t="s">
        <v>8</v>
      </c>
      <c r="G2635" s="46">
        <v>175</v>
      </c>
      <c r="H2635" s="3">
        <v>190</v>
      </c>
      <c r="I2635" s="46">
        <v>0</v>
      </c>
      <c r="J2635" s="55">
        <v>0</v>
      </c>
      <c r="K2635" s="1">
        <f t="shared" si="3668"/>
        <v>600</v>
      </c>
      <c r="L2635" s="51">
        <v>0</v>
      </c>
      <c r="M2635" s="52">
        <v>0</v>
      </c>
      <c r="N2635" s="2">
        <f t="shared" si="3592"/>
        <v>15</v>
      </c>
      <c r="O2635" s="2">
        <f t="shared" si="3615"/>
        <v>600</v>
      </c>
      <c r="P2635" s="13"/>
      <c r="Q2635" s="13"/>
      <c r="R2635" s="13"/>
      <c r="S2635" s="13"/>
      <c r="T2635" s="13"/>
      <c r="U2635" s="13"/>
      <c r="V2635" s="13"/>
      <c r="W2635" s="13"/>
      <c r="X2635" s="13"/>
      <c r="Y2635" s="13"/>
      <c r="Z2635" s="13"/>
      <c r="AA2635" s="13"/>
      <c r="AB2635" s="13"/>
      <c r="AC2635" s="13"/>
      <c r="AD2635" s="13"/>
      <c r="AE2635" s="13"/>
      <c r="AF2635" s="13"/>
      <c r="AG2635" s="13"/>
    </row>
    <row r="2636" spans="1:33" s="14" customFormat="1" ht="15" customHeight="1">
      <c r="A2636" s="10">
        <v>42846</v>
      </c>
      <c r="B2636" s="3" t="s">
        <v>77</v>
      </c>
      <c r="C2636" s="15" t="s">
        <v>47</v>
      </c>
      <c r="D2636" s="15">
        <v>400</v>
      </c>
      <c r="E2636" s="11">
        <v>2000</v>
      </c>
      <c r="F2636" s="3" t="s">
        <v>8</v>
      </c>
      <c r="G2636" s="46">
        <v>11.7</v>
      </c>
      <c r="H2636" s="3">
        <v>12.2</v>
      </c>
      <c r="I2636" s="46">
        <v>12.9</v>
      </c>
      <c r="J2636" s="55">
        <v>0</v>
      </c>
      <c r="K2636" s="1">
        <f t="shared" si="3668"/>
        <v>1000</v>
      </c>
      <c r="L2636" s="51">
        <f t="shared" ref="L2636" si="3672">(IF(F2636="SELL",IF(I2636="",0,H2636-I2636),IF(F2636="BUY",IF(I2636="",0,I2636-H2636))))*E2636</f>
        <v>1400.000000000002</v>
      </c>
      <c r="M2636" s="52">
        <v>0</v>
      </c>
      <c r="N2636" s="2">
        <f t="shared" ref="N2636:N2699" si="3673">(L2636+K2636+M2636)/E2636</f>
        <v>1.2000000000000008</v>
      </c>
      <c r="O2636" s="2">
        <f t="shared" si="3615"/>
        <v>2400.0000000000018</v>
      </c>
      <c r="P2636" s="13"/>
      <c r="Q2636" s="13"/>
      <c r="R2636" s="13"/>
      <c r="S2636" s="13"/>
      <c r="T2636" s="13"/>
      <c r="U2636" s="13"/>
      <c r="V2636" s="13"/>
      <c r="W2636" s="13"/>
      <c r="X2636" s="13"/>
      <c r="Y2636" s="13"/>
      <c r="Z2636" s="13"/>
      <c r="AA2636" s="13"/>
      <c r="AB2636" s="13"/>
      <c r="AC2636" s="13"/>
      <c r="AD2636" s="13"/>
      <c r="AE2636" s="13"/>
      <c r="AF2636" s="13"/>
      <c r="AG2636" s="13"/>
    </row>
    <row r="2637" spans="1:33" s="14" customFormat="1" ht="15" customHeight="1">
      <c r="A2637" s="10">
        <v>42846</v>
      </c>
      <c r="B2637" s="3" t="s">
        <v>96</v>
      </c>
      <c r="C2637" s="15" t="s">
        <v>47</v>
      </c>
      <c r="D2637" s="15">
        <v>340</v>
      </c>
      <c r="E2637" s="11">
        <v>2500</v>
      </c>
      <c r="F2637" s="3" t="s">
        <v>8</v>
      </c>
      <c r="G2637" s="46">
        <v>4.5999999999999996</v>
      </c>
      <c r="H2637" s="3">
        <v>5</v>
      </c>
      <c r="I2637" s="46">
        <v>0</v>
      </c>
      <c r="J2637" s="55">
        <v>0</v>
      </c>
      <c r="K2637" s="1">
        <f t="shared" si="3668"/>
        <v>1000.0000000000009</v>
      </c>
      <c r="L2637" s="51">
        <v>0</v>
      </c>
      <c r="M2637" s="52">
        <v>0</v>
      </c>
      <c r="N2637" s="2">
        <f t="shared" si="3673"/>
        <v>0.40000000000000036</v>
      </c>
      <c r="O2637" s="2">
        <f t="shared" si="3615"/>
        <v>1000.0000000000009</v>
      </c>
      <c r="P2637" s="13"/>
      <c r="Q2637" s="13"/>
      <c r="R2637" s="13"/>
      <c r="S2637" s="13"/>
      <c r="T2637" s="13"/>
      <c r="U2637" s="13"/>
      <c r="V2637" s="13"/>
      <c r="W2637" s="13"/>
      <c r="X2637" s="13"/>
      <c r="Y2637" s="13"/>
      <c r="Z2637" s="13"/>
      <c r="AA2637" s="13"/>
      <c r="AB2637" s="13"/>
      <c r="AC2637" s="13"/>
      <c r="AD2637" s="13"/>
      <c r="AE2637" s="13"/>
      <c r="AF2637" s="13"/>
      <c r="AG2637" s="13"/>
    </row>
    <row r="2638" spans="1:33" s="14" customFormat="1" ht="15" customHeight="1">
      <c r="A2638" s="10">
        <v>42846</v>
      </c>
      <c r="B2638" s="3" t="s">
        <v>77</v>
      </c>
      <c r="C2638" s="15" t="s">
        <v>47</v>
      </c>
      <c r="D2638" s="15">
        <v>400</v>
      </c>
      <c r="E2638" s="11">
        <v>2000</v>
      </c>
      <c r="F2638" s="3" t="s">
        <v>8</v>
      </c>
      <c r="G2638" s="46">
        <v>14</v>
      </c>
      <c r="H2638" s="3">
        <v>14.5</v>
      </c>
      <c r="I2638" s="46">
        <v>0</v>
      </c>
      <c r="J2638" s="55">
        <v>0</v>
      </c>
      <c r="K2638" s="1">
        <f t="shared" si="3668"/>
        <v>1000</v>
      </c>
      <c r="L2638" s="51">
        <v>0</v>
      </c>
      <c r="M2638" s="52">
        <v>0</v>
      </c>
      <c r="N2638" s="2">
        <f t="shared" si="3673"/>
        <v>0.5</v>
      </c>
      <c r="O2638" s="2">
        <f t="shared" si="3615"/>
        <v>1000</v>
      </c>
      <c r="P2638" s="13"/>
      <c r="Q2638" s="13"/>
      <c r="R2638" s="13"/>
      <c r="S2638" s="13"/>
      <c r="T2638" s="13"/>
      <c r="U2638" s="13"/>
      <c r="V2638" s="13"/>
      <c r="W2638" s="13"/>
      <c r="X2638" s="13"/>
      <c r="Y2638" s="13"/>
      <c r="Z2638" s="13"/>
      <c r="AA2638" s="13"/>
      <c r="AB2638" s="13"/>
      <c r="AC2638" s="13"/>
      <c r="AD2638" s="13"/>
      <c r="AE2638" s="13"/>
      <c r="AF2638" s="13"/>
      <c r="AG2638" s="13"/>
    </row>
    <row r="2639" spans="1:33" s="14" customFormat="1" ht="15" customHeight="1">
      <c r="A2639" s="10">
        <v>42845</v>
      </c>
      <c r="B2639" s="3" t="s">
        <v>57</v>
      </c>
      <c r="C2639" s="15" t="s">
        <v>47</v>
      </c>
      <c r="D2639" s="15">
        <v>150</v>
      </c>
      <c r="E2639" s="11">
        <v>6000</v>
      </c>
      <c r="F2639" s="3" t="s">
        <v>8</v>
      </c>
      <c r="G2639" s="46">
        <v>3.6</v>
      </c>
      <c r="H2639" s="3">
        <v>3.6</v>
      </c>
      <c r="I2639" s="46">
        <v>0</v>
      </c>
      <c r="J2639" s="55">
        <v>0</v>
      </c>
      <c r="K2639" s="1">
        <v>0</v>
      </c>
      <c r="L2639" s="51">
        <v>0</v>
      </c>
      <c r="M2639" s="52">
        <v>0</v>
      </c>
      <c r="N2639" s="2">
        <f t="shared" si="3673"/>
        <v>0</v>
      </c>
      <c r="O2639" s="2">
        <f t="shared" si="3615"/>
        <v>0</v>
      </c>
      <c r="P2639" s="13"/>
      <c r="Q2639" s="13"/>
      <c r="R2639" s="13"/>
      <c r="S2639" s="13"/>
      <c r="T2639" s="13"/>
      <c r="U2639" s="13"/>
      <c r="V2639" s="13"/>
      <c r="W2639" s="13"/>
      <c r="X2639" s="13"/>
      <c r="Y2639" s="13"/>
      <c r="Z2639" s="13"/>
      <c r="AA2639" s="13"/>
      <c r="AB2639" s="13"/>
      <c r="AC2639" s="13"/>
      <c r="AD2639" s="13"/>
      <c r="AE2639" s="13"/>
      <c r="AF2639" s="13"/>
      <c r="AG2639" s="13"/>
    </row>
    <row r="2640" spans="1:33" s="14" customFormat="1" ht="15" customHeight="1">
      <c r="A2640" s="10">
        <v>42845</v>
      </c>
      <c r="B2640" s="3" t="s">
        <v>83</v>
      </c>
      <c r="C2640" s="15" t="s">
        <v>47</v>
      </c>
      <c r="D2640" s="15">
        <v>21500</v>
      </c>
      <c r="E2640" s="11">
        <v>40</v>
      </c>
      <c r="F2640" s="3" t="s">
        <v>8</v>
      </c>
      <c r="G2640" s="46">
        <v>190</v>
      </c>
      <c r="H2640" s="3">
        <v>195</v>
      </c>
      <c r="I2640" s="46">
        <v>220</v>
      </c>
      <c r="J2640" s="55">
        <v>0</v>
      </c>
      <c r="K2640" s="1">
        <f t="shared" si="3668"/>
        <v>200</v>
      </c>
      <c r="L2640" s="51">
        <f t="shared" ref="L2640:L2642" si="3674">(IF(F2640="SELL",IF(I2640="",0,H2640-I2640),IF(F2640="BUY",IF(I2640="",0,I2640-H2640))))*E2640</f>
        <v>1000</v>
      </c>
      <c r="M2640" s="52">
        <v>0</v>
      </c>
      <c r="N2640" s="2">
        <f t="shared" si="3673"/>
        <v>30</v>
      </c>
      <c r="O2640" s="2">
        <f t="shared" si="3615"/>
        <v>1200</v>
      </c>
      <c r="P2640" s="13"/>
      <c r="Q2640" s="13"/>
      <c r="R2640" s="13"/>
      <c r="S2640" s="13"/>
      <c r="T2640" s="13"/>
      <c r="U2640" s="13"/>
      <c r="V2640" s="13"/>
      <c r="W2640" s="13"/>
      <c r="X2640" s="13"/>
      <c r="Y2640" s="13"/>
      <c r="Z2640" s="13"/>
      <c r="AA2640" s="13"/>
      <c r="AB2640" s="13"/>
      <c r="AC2640" s="13"/>
      <c r="AD2640" s="13"/>
      <c r="AE2640" s="13"/>
      <c r="AF2640" s="13"/>
      <c r="AG2640" s="13"/>
    </row>
    <row r="2641" spans="1:33" s="14" customFormat="1" ht="15" customHeight="1">
      <c r="A2641" s="10">
        <v>42845</v>
      </c>
      <c r="B2641" s="3" t="s">
        <v>55</v>
      </c>
      <c r="C2641" s="15" t="s">
        <v>47</v>
      </c>
      <c r="D2641" s="15">
        <v>170</v>
      </c>
      <c r="E2641" s="11">
        <v>3500</v>
      </c>
      <c r="F2641" s="3" t="s">
        <v>8</v>
      </c>
      <c r="G2641" s="46">
        <v>7.1</v>
      </c>
      <c r="H2641" s="3">
        <v>7.1</v>
      </c>
      <c r="I2641" s="46">
        <v>0</v>
      </c>
      <c r="J2641" s="55">
        <v>0</v>
      </c>
      <c r="K2641" s="1">
        <v>0</v>
      </c>
      <c r="L2641" s="51">
        <v>0</v>
      </c>
      <c r="M2641" s="52">
        <v>0</v>
      </c>
      <c r="N2641" s="2">
        <f t="shared" si="3673"/>
        <v>0</v>
      </c>
      <c r="O2641" s="2">
        <f t="shared" si="3615"/>
        <v>0</v>
      </c>
      <c r="P2641" s="13"/>
      <c r="Q2641" s="13"/>
      <c r="R2641" s="13"/>
      <c r="S2641" s="13"/>
      <c r="T2641" s="13"/>
      <c r="U2641" s="13"/>
      <c r="V2641" s="13"/>
      <c r="W2641" s="13"/>
      <c r="X2641" s="13"/>
      <c r="Y2641" s="13"/>
      <c r="Z2641" s="13"/>
      <c r="AA2641" s="13"/>
      <c r="AB2641" s="13"/>
      <c r="AC2641" s="13"/>
      <c r="AD2641" s="13"/>
      <c r="AE2641" s="13"/>
      <c r="AF2641" s="13"/>
      <c r="AG2641" s="13"/>
    </row>
    <row r="2642" spans="1:33" s="14" customFormat="1" ht="15" customHeight="1">
      <c r="A2642" s="10">
        <v>42845</v>
      </c>
      <c r="B2642" s="3" t="s">
        <v>79</v>
      </c>
      <c r="C2642" s="15" t="s">
        <v>47</v>
      </c>
      <c r="D2642" s="15">
        <v>180</v>
      </c>
      <c r="E2642" s="11">
        <v>3500</v>
      </c>
      <c r="F2642" s="3" t="s">
        <v>8</v>
      </c>
      <c r="G2642" s="46">
        <v>8.4</v>
      </c>
      <c r="H2642" s="3">
        <v>8.6999999999999993</v>
      </c>
      <c r="I2642" s="46">
        <v>9.1</v>
      </c>
      <c r="J2642" s="55">
        <v>10</v>
      </c>
      <c r="K2642" s="1">
        <f t="shared" si="3668"/>
        <v>1049.9999999999964</v>
      </c>
      <c r="L2642" s="51">
        <f t="shared" si="3674"/>
        <v>1400.0000000000011</v>
      </c>
      <c r="M2642" s="52">
        <f>(IF(F2642="SELL",IF(J2642="",0,I2642-J2642),IF(F2642="BUY",IF(J2642="",0,(J2642-I2642)))))*E2642</f>
        <v>3150.0000000000014</v>
      </c>
      <c r="N2642" s="2">
        <f t="shared" si="3673"/>
        <v>1.5999999999999994</v>
      </c>
      <c r="O2642" s="2">
        <f t="shared" si="3615"/>
        <v>5599.9999999999982</v>
      </c>
      <c r="P2642" s="13"/>
      <c r="Q2642" s="13"/>
      <c r="R2642" s="13"/>
      <c r="S2642" s="13"/>
      <c r="T2642" s="13"/>
      <c r="U2642" s="13"/>
      <c r="V2642" s="13"/>
      <c r="W2642" s="13"/>
      <c r="X2642" s="13"/>
      <c r="Y2642" s="13"/>
      <c r="Z2642" s="13"/>
      <c r="AA2642" s="13"/>
      <c r="AB2642" s="13"/>
      <c r="AC2642" s="13"/>
      <c r="AD2642" s="13"/>
      <c r="AE2642" s="13"/>
      <c r="AF2642" s="13"/>
      <c r="AG2642" s="13"/>
    </row>
    <row r="2643" spans="1:33" s="14" customFormat="1" ht="15" customHeight="1">
      <c r="A2643" s="10">
        <v>42845</v>
      </c>
      <c r="B2643" s="3" t="s">
        <v>62</v>
      </c>
      <c r="C2643" s="15" t="s">
        <v>47</v>
      </c>
      <c r="D2643" s="15">
        <v>160</v>
      </c>
      <c r="E2643" s="11">
        <v>6000</v>
      </c>
      <c r="F2643" s="3" t="s">
        <v>8</v>
      </c>
      <c r="G2643" s="46">
        <v>2.8</v>
      </c>
      <c r="H2643" s="3">
        <v>3</v>
      </c>
      <c r="I2643" s="46">
        <v>3.3</v>
      </c>
      <c r="J2643" s="55">
        <v>0</v>
      </c>
      <c r="K2643" s="1">
        <f t="shared" ref="K2643" si="3675">(IF(F2643="SELL",G2643-H2643,IF(F2643="BUY",H2643-G2643)))*E2643</f>
        <v>1200.0000000000011</v>
      </c>
      <c r="L2643" s="51">
        <f t="shared" ref="L2643:L2644" si="3676">(IF(F2643="SELL",IF(I2643="",0,H2643-I2643),IF(F2643="BUY",IF(I2643="",0,I2643-H2643))))*E2643</f>
        <v>1799.9999999999989</v>
      </c>
      <c r="M2643" s="52">
        <v>0</v>
      </c>
      <c r="N2643" s="2">
        <f t="shared" si="3673"/>
        <v>0.5</v>
      </c>
      <c r="O2643" s="2">
        <f t="shared" si="3615"/>
        <v>3000</v>
      </c>
      <c r="P2643" s="13"/>
      <c r="Q2643" s="13"/>
      <c r="R2643" s="13"/>
      <c r="S2643" s="13"/>
      <c r="T2643" s="13"/>
      <c r="U2643" s="13"/>
      <c r="V2643" s="13"/>
      <c r="W2643" s="13"/>
      <c r="X2643" s="13"/>
      <c r="Y2643" s="13"/>
      <c r="Z2643" s="13"/>
      <c r="AA2643" s="13"/>
      <c r="AB2643" s="13"/>
      <c r="AC2643" s="13"/>
      <c r="AD2643" s="13"/>
      <c r="AE2643" s="13"/>
      <c r="AF2643" s="13"/>
      <c r="AG2643" s="13"/>
    </row>
    <row r="2644" spans="1:33" s="14" customFormat="1" ht="15" customHeight="1">
      <c r="A2644" s="10">
        <v>42844</v>
      </c>
      <c r="B2644" s="3" t="s">
        <v>55</v>
      </c>
      <c r="C2644" s="15" t="s">
        <v>47</v>
      </c>
      <c r="D2644" s="15">
        <v>170</v>
      </c>
      <c r="E2644" s="11">
        <v>3500</v>
      </c>
      <c r="F2644" s="3" t="s">
        <v>8</v>
      </c>
      <c r="G2644" s="46">
        <v>6.7</v>
      </c>
      <c r="H2644" s="3">
        <v>7</v>
      </c>
      <c r="I2644" s="46">
        <v>8.5</v>
      </c>
      <c r="J2644" s="55">
        <v>0</v>
      </c>
      <c r="K2644" s="1">
        <f t="shared" ref="K2644:K2652" si="3677">(IF(F2644="SELL",G2644-H2644,IF(F2644="BUY",H2644-G2644)))*E2644</f>
        <v>1049.9999999999993</v>
      </c>
      <c r="L2644" s="51">
        <f t="shared" si="3676"/>
        <v>5250</v>
      </c>
      <c r="M2644" s="51">
        <v>0</v>
      </c>
      <c r="N2644" s="2">
        <f t="shared" si="3673"/>
        <v>1.7999999999999998</v>
      </c>
      <c r="O2644" s="2">
        <f t="shared" si="3615"/>
        <v>6299.9999999999991</v>
      </c>
      <c r="P2644" s="13"/>
      <c r="Q2644" s="13"/>
      <c r="R2644" s="13"/>
      <c r="S2644" s="13"/>
      <c r="T2644" s="13"/>
      <c r="U2644" s="13"/>
      <c r="V2644" s="13"/>
      <c r="W2644" s="13"/>
      <c r="X2644" s="13"/>
      <c r="Y2644" s="13"/>
      <c r="Z2644" s="13"/>
      <c r="AA2644" s="13"/>
      <c r="AB2644" s="13"/>
      <c r="AC2644" s="13"/>
      <c r="AD2644" s="13"/>
      <c r="AE2644" s="13"/>
      <c r="AF2644" s="13"/>
      <c r="AG2644" s="13"/>
    </row>
    <row r="2645" spans="1:33" s="14" customFormat="1" ht="15" customHeight="1">
      <c r="A2645" s="10">
        <v>42844</v>
      </c>
      <c r="B2645" s="3" t="s">
        <v>76</v>
      </c>
      <c r="C2645" s="15" t="s">
        <v>46</v>
      </c>
      <c r="D2645" s="15">
        <v>9200</v>
      </c>
      <c r="E2645" s="11">
        <v>75</v>
      </c>
      <c r="F2645" s="3" t="s">
        <v>8</v>
      </c>
      <c r="G2645" s="46">
        <v>120</v>
      </c>
      <c r="H2645" s="3">
        <v>120</v>
      </c>
      <c r="I2645" s="46">
        <v>0</v>
      </c>
      <c r="J2645" s="55">
        <v>0</v>
      </c>
      <c r="K2645" s="1">
        <f t="shared" si="3677"/>
        <v>0</v>
      </c>
      <c r="L2645" s="51">
        <v>0</v>
      </c>
      <c r="M2645" s="51">
        <v>0</v>
      </c>
      <c r="N2645" s="2">
        <f t="shared" si="3673"/>
        <v>0</v>
      </c>
      <c r="O2645" s="2">
        <f t="shared" si="3615"/>
        <v>0</v>
      </c>
      <c r="P2645" s="13"/>
      <c r="Q2645" s="13"/>
      <c r="R2645" s="13"/>
      <c r="S2645" s="13"/>
      <c r="T2645" s="13"/>
      <c r="U2645" s="13"/>
      <c r="V2645" s="13"/>
      <c r="W2645" s="13"/>
      <c r="X2645" s="13"/>
      <c r="Y2645" s="13"/>
      <c r="Z2645" s="13"/>
      <c r="AA2645" s="13"/>
      <c r="AB2645" s="13"/>
      <c r="AC2645" s="13"/>
      <c r="AD2645" s="13"/>
      <c r="AE2645" s="13"/>
      <c r="AF2645" s="13"/>
      <c r="AG2645" s="13"/>
    </row>
    <row r="2646" spans="1:33" s="14" customFormat="1" ht="15" customHeight="1">
      <c r="A2646" s="10">
        <v>42844</v>
      </c>
      <c r="B2646" s="3" t="s">
        <v>95</v>
      </c>
      <c r="C2646" s="15" t="s">
        <v>47</v>
      </c>
      <c r="D2646" s="15">
        <v>180</v>
      </c>
      <c r="E2646" s="11">
        <v>4500</v>
      </c>
      <c r="F2646" s="3" t="s">
        <v>8</v>
      </c>
      <c r="G2646" s="46">
        <v>5.5</v>
      </c>
      <c r="H2646" s="3">
        <v>5.8</v>
      </c>
      <c r="I2646" s="46">
        <v>6.2</v>
      </c>
      <c r="J2646" s="55">
        <v>0</v>
      </c>
      <c r="K2646" s="1">
        <f t="shared" si="3677"/>
        <v>1349.9999999999991</v>
      </c>
      <c r="L2646" s="51">
        <v>0</v>
      </c>
      <c r="M2646" s="51">
        <v>0</v>
      </c>
      <c r="N2646" s="2">
        <f t="shared" si="3673"/>
        <v>0.29999999999999982</v>
      </c>
      <c r="O2646" s="2">
        <f t="shared" si="3615"/>
        <v>1349.9999999999991</v>
      </c>
      <c r="P2646" s="13"/>
      <c r="Q2646" s="13"/>
      <c r="R2646" s="13"/>
      <c r="S2646" s="13"/>
      <c r="T2646" s="13"/>
      <c r="U2646" s="13"/>
      <c r="V2646" s="13"/>
      <c r="W2646" s="13"/>
      <c r="X2646" s="13"/>
      <c r="Y2646" s="13"/>
      <c r="Z2646" s="13"/>
      <c r="AA2646" s="13"/>
      <c r="AB2646" s="13"/>
      <c r="AC2646" s="13"/>
      <c r="AD2646" s="13"/>
      <c r="AE2646" s="13"/>
      <c r="AF2646" s="13"/>
      <c r="AG2646" s="13"/>
    </row>
    <row r="2647" spans="1:33" s="14" customFormat="1" ht="15" customHeight="1">
      <c r="A2647" s="10">
        <v>42843</v>
      </c>
      <c r="B2647" s="3" t="s">
        <v>57</v>
      </c>
      <c r="C2647" s="15" t="s">
        <v>47</v>
      </c>
      <c r="D2647" s="15">
        <v>145</v>
      </c>
      <c r="E2647" s="11">
        <v>6000</v>
      </c>
      <c r="F2647" s="3" t="s">
        <v>8</v>
      </c>
      <c r="G2647" s="46">
        <v>4.9000000000000004</v>
      </c>
      <c r="H2647" s="3">
        <v>5.0999999999999996</v>
      </c>
      <c r="I2647" s="47">
        <v>0</v>
      </c>
      <c r="J2647" s="55">
        <v>0</v>
      </c>
      <c r="K2647" s="1">
        <f t="shared" si="3677"/>
        <v>1199.9999999999957</v>
      </c>
      <c r="L2647" s="51">
        <v>0</v>
      </c>
      <c r="M2647" s="51">
        <v>0</v>
      </c>
      <c r="N2647" s="2">
        <f t="shared" si="3673"/>
        <v>0.19999999999999929</v>
      </c>
      <c r="O2647" s="2">
        <f t="shared" si="3615"/>
        <v>1199.9999999999957</v>
      </c>
      <c r="P2647" s="13"/>
      <c r="Q2647" s="13"/>
      <c r="R2647" s="13"/>
      <c r="S2647" s="13"/>
      <c r="T2647" s="13"/>
      <c r="U2647" s="13"/>
      <c r="V2647" s="13"/>
      <c r="W2647" s="13"/>
      <c r="X2647" s="13"/>
      <c r="Y2647" s="13"/>
      <c r="Z2647" s="13"/>
      <c r="AA2647" s="13"/>
      <c r="AB2647" s="13"/>
      <c r="AC2647" s="13"/>
      <c r="AD2647" s="13"/>
      <c r="AE2647" s="13"/>
      <c r="AF2647" s="13"/>
      <c r="AG2647" s="13"/>
    </row>
    <row r="2648" spans="1:33" s="14" customFormat="1" ht="15" customHeight="1">
      <c r="A2648" s="10">
        <v>42842</v>
      </c>
      <c r="B2648" s="3" t="s">
        <v>83</v>
      </c>
      <c r="C2648" s="15" t="s">
        <v>47</v>
      </c>
      <c r="D2648" s="15">
        <v>21600</v>
      </c>
      <c r="E2648" s="11">
        <v>40</v>
      </c>
      <c r="F2648" s="3" t="s">
        <v>8</v>
      </c>
      <c r="G2648" s="46">
        <v>245</v>
      </c>
      <c r="H2648" s="3">
        <v>260</v>
      </c>
      <c r="I2648" s="46">
        <v>0</v>
      </c>
      <c r="J2648" s="55">
        <v>0</v>
      </c>
      <c r="K2648" s="1">
        <f t="shared" si="3677"/>
        <v>600</v>
      </c>
      <c r="L2648" s="51">
        <v>0</v>
      </c>
      <c r="M2648" s="51">
        <v>0</v>
      </c>
      <c r="N2648" s="2">
        <f t="shared" si="3673"/>
        <v>15</v>
      </c>
      <c r="O2648" s="2">
        <f t="shared" si="3615"/>
        <v>600</v>
      </c>
      <c r="P2648" s="13"/>
      <c r="Q2648" s="13"/>
      <c r="R2648" s="13"/>
      <c r="S2648" s="13"/>
      <c r="T2648" s="13"/>
      <c r="U2648" s="13"/>
      <c r="V2648" s="13"/>
      <c r="W2648" s="13"/>
      <c r="X2648" s="13"/>
      <c r="Y2648" s="13"/>
      <c r="Z2648" s="13"/>
      <c r="AA2648" s="13"/>
      <c r="AB2648" s="13"/>
      <c r="AC2648" s="13"/>
      <c r="AD2648" s="13"/>
      <c r="AE2648" s="13"/>
      <c r="AF2648" s="13"/>
      <c r="AG2648" s="13"/>
    </row>
    <row r="2649" spans="1:33" s="14" customFormat="1" ht="15" customHeight="1">
      <c r="A2649" s="10">
        <v>42842</v>
      </c>
      <c r="B2649" s="3" t="s">
        <v>76</v>
      </c>
      <c r="C2649" s="15" t="s">
        <v>47</v>
      </c>
      <c r="D2649" s="15">
        <v>9100</v>
      </c>
      <c r="E2649" s="11">
        <v>75</v>
      </c>
      <c r="F2649" s="3" t="s">
        <v>8</v>
      </c>
      <c r="G2649" s="46">
        <v>100</v>
      </c>
      <c r="H2649" s="3">
        <v>108</v>
      </c>
      <c r="I2649" s="46">
        <v>0</v>
      </c>
      <c r="J2649" s="55">
        <v>0</v>
      </c>
      <c r="K2649" s="1">
        <f t="shared" si="3677"/>
        <v>600</v>
      </c>
      <c r="L2649" s="51">
        <v>0</v>
      </c>
      <c r="M2649" s="51">
        <v>0</v>
      </c>
      <c r="N2649" s="2">
        <f t="shared" si="3673"/>
        <v>8</v>
      </c>
      <c r="O2649" s="2">
        <f t="shared" si="3615"/>
        <v>600</v>
      </c>
      <c r="P2649" s="13"/>
      <c r="Q2649" s="13"/>
      <c r="R2649" s="13"/>
      <c r="S2649" s="13"/>
      <c r="T2649" s="13"/>
      <c r="U2649" s="13"/>
      <c r="V2649" s="13"/>
      <c r="W2649" s="13"/>
      <c r="X2649" s="13"/>
      <c r="Y2649" s="13"/>
      <c r="Z2649" s="13"/>
      <c r="AA2649" s="13"/>
      <c r="AB2649" s="13"/>
      <c r="AC2649" s="13"/>
      <c r="AD2649" s="13"/>
      <c r="AE2649" s="13"/>
      <c r="AF2649" s="13"/>
      <c r="AG2649" s="13"/>
    </row>
    <row r="2650" spans="1:33" s="14" customFormat="1" ht="15" customHeight="1">
      <c r="A2650" s="10">
        <v>42842</v>
      </c>
      <c r="B2650" s="3" t="s">
        <v>94</v>
      </c>
      <c r="C2650" s="15" t="s">
        <v>47</v>
      </c>
      <c r="D2650" s="15">
        <v>2300</v>
      </c>
      <c r="E2650" s="11">
        <v>300</v>
      </c>
      <c r="F2650" s="3" t="s">
        <v>8</v>
      </c>
      <c r="G2650" s="46">
        <v>70</v>
      </c>
      <c r="H2650" s="3">
        <v>73.5</v>
      </c>
      <c r="I2650" s="46">
        <v>78</v>
      </c>
      <c r="J2650" s="55">
        <v>0</v>
      </c>
      <c r="K2650" s="1">
        <f t="shared" si="3677"/>
        <v>1050</v>
      </c>
      <c r="L2650" s="51">
        <f t="shared" ref="L2650" si="3678">(IF(F2650="SELL",IF(I2650="",0,H2650-I2650),IF(F2650="BUY",IF(I2650="",0,I2650-H2650))))*E2650</f>
        <v>1350</v>
      </c>
      <c r="M2650" s="51">
        <v>0</v>
      </c>
      <c r="N2650" s="2">
        <f t="shared" si="3673"/>
        <v>8</v>
      </c>
      <c r="O2650" s="2">
        <f t="shared" si="3615"/>
        <v>2400</v>
      </c>
      <c r="P2650" s="13"/>
      <c r="Q2650" s="13"/>
      <c r="R2650" s="13"/>
      <c r="S2650" s="13"/>
      <c r="T2650" s="13"/>
      <c r="U2650" s="13"/>
      <c r="V2650" s="13"/>
      <c r="W2650" s="13"/>
      <c r="X2650" s="13"/>
      <c r="Y2650" s="13"/>
      <c r="Z2650" s="13"/>
      <c r="AA2650" s="13"/>
      <c r="AB2650" s="13"/>
      <c r="AC2650" s="13"/>
      <c r="AD2650" s="13"/>
      <c r="AE2650" s="13"/>
      <c r="AF2650" s="13"/>
      <c r="AG2650" s="13"/>
    </row>
    <row r="2651" spans="1:33" s="14" customFormat="1" ht="15" customHeight="1">
      <c r="A2651" s="10">
        <v>42842</v>
      </c>
      <c r="B2651" s="3" t="s">
        <v>22</v>
      </c>
      <c r="C2651" s="15" t="s">
        <v>47</v>
      </c>
      <c r="D2651" s="15">
        <v>155</v>
      </c>
      <c r="E2651" s="11">
        <v>5000</v>
      </c>
      <c r="F2651" s="3" t="s">
        <v>8</v>
      </c>
      <c r="G2651" s="46">
        <v>7</v>
      </c>
      <c r="H2651" s="3">
        <v>7.2</v>
      </c>
      <c r="I2651" s="46">
        <v>7.5</v>
      </c>
      <c r="J2651" s="55">
        <v>8.5</v>
      </c>
      <c r="K2651" s="1">
        <f t="shared" si="3677"/>
        <v>1000.0000000000009</v>
      </c>
      <c r="L2651" s="51">
        <f>(IF(F2651="SELL",IF(I2651="",0,H2651-I2651),IF(F2651="BUY",IF(I2651="",0,I2651-H2651))))*E2651</f>
        <v>1499.9999999999991</v>
      </c>
      <c r="M2651" s="52">
        <f>(IF(F2651="SELL",IF(J2651="",0,I2651-J2651),IF(F2651="BUY",IF(J2651="",0,(J2651-I2651)))))*E2651</f>
        <v>5000</v>
      </c>
      <c r="N2651" s="2">
        <f t="shared" si="3673"/>
        <v>1.5</v>
      </c>
      <c r="O2651" s="2">
        <f t="shared" si="3615"/>
        <v>7500</v>
      </c>
      <c r="P2651" s="13"/>
      <c r="Q2651" s="13"/>
      <c r="R2651" s="13"/>
      <c r="S2651" s="13"/>
      <c r="T2651" s="13"/>
      <c r="U2651" s="13"/>
      <c r="V2651" s="13"/>
      <c r="W2651" s="13"/>
      <c r="X2651" s="13"/>
      <c r="Y2651" s="13"/>
      <c r="Z2651" s="13"/>
      <c r="AA2651" s="13"/>
      <c r="AB2651" s="13"/>
      <c r="AC2651" s="13"/>
      <c r="AD2651" s="13"/>
      <c r="AE2651" s="13"/>
      <c r="AF2651" s="13"/>
      <c r="AG2651" s="13"/>
    </row>
    <row r="2652" spans="1:33" s="14" customFormat="1" ht="15" customHeight="1">
      <c r="A2652" s="10">
        <v>42842</v>
      </c>
      <c r="B2652" s="3" t="s">
        <v>55</v>
      </c>
      <c r="C2652" s="15" t="s">
        <v>47</v>
      </c>
      <c r="D2652" s="15">
        <v>170</v>
      </c>
      <c r="E2652" s="11">
        <v>3500</v>
      </c>
      <c r="F2652" s="3" t="s">
        <v>8</v>
      </c>
      <c r="G2652" s="46">
        <v>9.3000000000000007</v>
      </c>
      <c r="H2652" s="3">
        <v>9.3000000000000007</v>
      </c>
      <c r="I2652" s="46">
        <v>0</v>
      </c>
      <c r="J2652" s="55">
        <v>0</v>
      </c>
      <c r="K2652" s="1">
        <f t="shared" si="3677"/>
        <v>0</v>
      </c>
      <c r="L2652" s="51">
        <v>0</v>
      </c>
      <c r="M2652" s="51">
        <v>0</v>
      </c>
      <c r="N2652" s="2">
        <f t="shared" si="3673"/>
        <v>0</v>
      </c>
      <c r="O2652" s="2">
        <f t="shared" si="3615"/>
        <v>0</v>
      </c>
      <c r="P2652" s="13"/>
      <c r="Q2652" s="13"/>
      <c r="R2652" s="13"/>
      <c r="S2652" s="13"/>
      <c r="T2652" s="13"/>
      <c r="U2652" s="13"/>
      <c r="V2652" s="13"/>
      <c r="W2652" s="13"/>
      <c r="X2652" s="13"/>
      <c r="Y2652" s="13"/>
      <c r="Z2652" s="13"/>
      <c r="AA2652" s="13"/>
      <c r="AB2652" s="13"/>
      <c r="AC2652" s="13"/>
      <c r="AD2652" s="13"/>
      <c r="AE2652" s="13"/>
      <c r="AF2652" s="13"/>
      <c r="AG2652" s="13"/>
    </row>
    <row r="2653" spans="1:33" s="14" customFormat="1" ht="15" customHeight="1">
      <c r="A2653" s="10">
        <v>42842</v>
      </c>
      <c r="B2653" s="3" t="s">
        <v>63</v>
      </c>
      <c r="C2653" s="15" t="s">
        <v>47</v>
      </c>
      <c r="D2653" s="15">
        <v>540</v>
      </c>
      <c r="E2653" s="11">
        <v>2100</v>
      </c>
      <c r="F2653" s="3" t="s">
        <v>8</v>
      </c>
      <c r="G2653" s="46">
        <v>18.5</v>
      </c>
      <c r="H2653" s="3">
        <v>19</v>
      </c>
      <c r="I2653" s="46">
        <v>19.7</v>
      </c>
      <c r="J2653" s="55">
        <v>23</v>
      </c>
      <c r="K2653" s="1">
        <f t="shared" ref="K2653:K2657" si="3679">(IF(F2653="SELL",G2653-H2653,IF(F2653="BUY",H2653-G2653)))*E2653</f>
        <v>1050</v>
      </c>
      <c r="L2653" s="51">
        <f t="shared" ref="L2653:L2657" si="3680">(IF(F2653="SELL",IF(I2653="",0,H2653-I2653),IF(F2653="BUY",IF(I2653="",0,I2653-H2653))))*E2653</f>
        <v>1469.9999999999984</v>
      </c>
      <c r="M2653" s="52">
        <f>(IF(F2653="SELL",IF(J2653="",0,I2653-J2653),IF(F2653="BUY",IF(J2653="",0,(J2653-I2653)))))*E2653</f>
        <v>6930.0000000000018</v>
      </c>
      <c r="N2653" s="2">
        <f t="shared" si="3673"/>
        <v>4.5</v>
      </c>
      <c r="O2653" s="2">
        <f t="shared" si="3615"/>
        <v>9450</v>
      </c>
      <c r="P2653" s="13"/>
      <c r="Q2653" s="13"/>
      <c r="R2653" s="13"/>
      <c r="S2653" s="13"/>
      <c r="T2653" s="13"/>
      <c r="U2653" s="13"/>
      <c r="V2653" s="13"/>
      <c r="W2653" s="13"/>
      <c r="X2653" s="13"/>
      <c r="Y2653" s="13"/>
      <c r="Z2653" s="13"/>
      <c r="AA2653" s="13"/>
      <c r="AB2653" s="13"/>
      <c r="AC2653" s="13"/>
      <c r="AD2653" s="13"/>
      <c r="AE2653" s="13"/>
      <c r="AF2653" s="13"/>
      <c r="AG2653" s="13"/>
    </row>
    <row r="2654" spans="1:33" s="14" customFormat="1" ht="15" customHeight="1">
      <c r="A2654" s="10">
        <v>42838</v>
      </c>
      <c r="B2654" s="3" t="s">
        <v>22</v>
      </c>
      <c r="C2654" s="15" t="s">
        <v>47</v>
      </c>
      <c r="D2654" s="15">
        <v>155</v>
      </c>
      <c r="E2654" s="11">
        <v>5000</v>
      </c>
      <c r="F2654" s="3" t="s">
        <v>8</v>
      </c>
      <c r="G2654" s="46">
        <v>8.6</v>
      </c>
      <c r="H2654" s="3">
        <v>8.8000000000000007</v>
      </c>
      <c r="I2654" s="46">
        <v>9.1</v>
      </c>
      <c r="J2654" s="55">
        <v>0</v>
      </c>
      <c r="K2654" s="1">
        <f t="shared" si="3679"/>
        <v>1000.0000000000053</v>
      </c>
      <c r="L2654" s="51">
        <f t="shared" si="3680"/>
        <v>1499.9999999999948</v>
      </c>
      <c r="M2654" s="51">
        <v>0</v>
      </c>
      <c r="N2654" s="2">
        <f t="shared" si="3673"/>
        <v>0.5</v>
      </c>
      <c r="O2654" s="2">
        <f t="shared" si="3615"/>
        <v>2500</v>
      </c>
      <c r="P2654" s="13"/>
      <c r="Q2654" s="13"/>
      <c r="R2654" s="13"/>
      <c r="S2654" s="13"/>
      <c r="T2654" s="13"/>
      <c r="U2654" s="13"/>
      <c r="V2654" s="13"/>
      <c r="W2654" s="13"/>
      <c r="X2654" s="13"/>
      <c r="Y2654" s="13"/>
      <c r="Z2654" s="13"/>
      <c r="AA2654" s="13"/>
      <c r="AB2654" s="13"/>
      <c r="AC2654" s="13"/>
      <c r="AD2654" s="13"/>
      <c r="AE2654" s="13"/>
      <c r="AF2654" s="13"/>
      <c r="AG2654" s="13"/>
    </row>
    <row r="2655" spans="1:33" s="14" customFormat="1" ht="15" customHeight="1">
      <c r="A2655" s="10">
        <v>42838</v>
      </c>
      <c r="B2655" s="3" t="s">
        <v>83</v>
      </c>
      <c r="C2655" s="15" t="s">
        <v>47</v>
      </c>
      <c r="D2655" s="15">
        <v>21600</v>
      </c>
      <c r="E2655" s="11">
        <v>40</v>
      </c>
      <c r="F2655" s="3" t="s">
        <v>8</v>
      </c>
      <c r="G2655" s="46">
        <v>315</v>
      </c>
      <c r="H2655" s="3">
        <v>330</v>
      </c>
      <c r="I2655" s="46">
        <v>0</v>
      </c>
      <c r="J2655" s="55">
        <v>0</v>
      </c>
      <c r="K2655" s="1">
        <f t="shared" si="3679"/>
        <v>600</v>
      </c>
      <c r="L2655" s="51">
        <v>0</v>
      </c>
      <c r="M2655" s="51">
        <v>0</v>
      </c>
      <c r="N2655" s="2">
        <f t="shared" si="3673"/>
        <v>15</v>
      </c>
      <c r="O2655" s="2">
        <f t="shared" si="3615"/>
        <v>600</v>
      </c>
      <c r="P2655" s="13"/>
      <c r="Q2655" s="13"/>
      <c r="R2655" s="13"/>
      <c r="S2655" s="13"/>
      <c r="T2655" s="13"/>
      <c r="U2655" s="13"/>
      <c r="V2655" s="13"/>
      <c r="W2655" s="13"/>
      <c r="X2655" s="13"/>
      <c r="Y2655" s="13"/>
      <c r="Z2655" s="13"/>
      <c r="AA2655" s="13"/>
      <c r="AB2655" s="13"/>
      <c r="AC2655" s="13"/>
      <c r="AD2655" s="13"/>
      <c r="AE2655" s="13"/>
      <c r="AF2655" s="13"/>
      <c r="AG2655" s="13"/>
    </row>
    <row r="2656" spans="1:33" s="14" customFormat="1" ht="15" customHeight="1">
      <c r="A2656" s="10">
        <v>42838</v>
      </c>
      <c r="B2656" s="3" t="s">
        <v>90</v>
      </c>
      <c r="C2656" s="15" t="s">
        <v>47</v>
      </c>
      <c r="D2656" s="15">
        <v>250</v>
      </c>
      <c r="E2656" s="11">
        <v>6000</v>
      </c>
      <c r="F2656" s="3" t="s">
        <v>8</v>
      </c>
      <c r="G2656" s="46">
        <v>8.5</v>
      </c>
      <c r="H2656" s="3">
        <v>0</v>
      </c>
      <c r="I2656" s="46">
        <v>0</v>
      </c>
      <c r="J2656" s="55">
        <v>0</v>
      </c>
      <c r="K2656" s="1">
        <v>0</v>
      </c>
      <c r="L2656" s="51">
        <f t="shared" si="3680"/>
        <v>0</v>
      </c>
      <c r="M2656" s="51">
        <v>0</v>
      </c>
      <c r="N2656" s="2">
        <f t="shared" si="3673"/>
        <v>0</v>
      </c>
      <c r="O2656" s="2">
        <f t="shared" ref="O2656:O2719" si="3681">N2656*E2656</f>
        <v>0</v>
      </c>
      <c r="P2656" s="13"/>
      <c r="Q2656" s="13"/>
      <c r="R2656" s="13"/>
      <c r="S2656" s="13"/>
      <c r="T2656" s="13"/>
      <c r="U2656" s="13"/>
      <c r="V2656" s="13"/>
      <c r="W2656" s="13"/>
      <c r="X2656" s="13"/>
      <c r="Y2656" s="13"/>
      <c r="Z2656" s="13"/>
      <c r="AA2656" s="13"/>
      <c r="AB2656" s="13"/>
      <c r="AC2656" s="13"/>
      <c r="AD2656" s="13"/>
      <c r="AE2656" s="13"/>
      <c r="AF2656" s="13"/>
      <c r="AG2656" s="13"/>
    </row>
    <row r="2657" spans="1:33" s="14" customFormat="1" ht="15" customHeight="1">
      <c r="A2657" s="10">
        <v>42838</v>
      </c>
      <c r="B2657" s="3" t="s">
        <v>93</v>
      </c>
      <c r="C2657" s="15" t="s">
        <v>47</v>
      </c>
      <c r="D2657" s="15">
        <v>155</v>
      </c>
      <c r="E2657" s="11">
        <v>7000</v>
      </c>
      <c r="F2657" s="3" t="s">
        <v>8</v>
      </c>
      <c r="G2657" s="46">
        <v>4.4000000000000004</v>
      </c>
      <c r="H2657" s="3">
        <v>4.5999999999999996</v>
      </c>
      <c r="I2657" s="46">
        <v>4.9000000000000004</v>
      </c>
      <c r="J2657" s="55">
        <v>0</v>
      </c>
      <c r="K2657" s="1">
        <f t="shared" si="3679"/>
        <v>1399.999999999995</v>
      </c>
      <c r="L2657" s="51">
        <f t="shared" si="3680"/>
        <v>2100.000000000005</v>
      </c>
      <c r="M2657" s="51">
        <v>0</v>
      </c>
      <c r="N2657" s="2">
        <f t="shared" si="3673"/>
        <v>0.5</v>
      </c>
      <c r="O2657" s="2">
        <f t="shared" si="3681"/>
        <v>3500</v>
      </c>
      <c r="P2657" s="13"/>
      <c r="Q2657" s="13"/>
      <c r="R2657" s="13"/>
      <c r="S2657" s="13"/>
      <c r="T2657" s="13"/>
      <c r="U2657" s="13"/>
      <c r="V2657" s="13"/>
      <c r="W2657" s="13"/>
      <c r="X2657" s="13"/>
      <c r="Y2657" s="13"/>
      <c r="Z2657" s="13"/>
      <c r="AA2657" s="13"/>
      <c r="AB2657" s="13"/>
      <c r="AC2657" s="13"/>
      <c r="AD2657" s="13"/>
      <c r="AE2657" s="13"/>
      <c r="AF2657" s="13"/>
      <c r="AG2657" s="13"/>
    </row>
    <row r="2658" spans="1:33" s="14" customFormat="1" ht="15" customHeight="1">
      <c r="A2658" s="10">
        <v>42838</v>
      </c>
      <c r="B2658" s="3" t="s">
        <v>92</v>
      </c>
      <c r="C2658" s="15" t="s">
        <v>47</v>
      </c>
      <c r="D2658" s="15">
        <v>1950</v>
      </c>
      <c r="E2658" s="11">
        <v>250</v>
      </c>
      <c r="F2658" s="3" t="s">
        <v>8</v>
      </c>
      <c r="G2658" s="46">
        <v>38</v>
      </c>
      <c r="H2658" s="3">
        <v>38</v>
      </c>
      <c r="I2658" s="46">
        <v>0</v>
      </c>
      <c r="J2658" s="55">
        <v>0</v>
      </c>
      <c r="K2658" s="1">
        <f t="shared" ref="K2658:K2670" si="3682">(IF(F2658="SELL",G2658-H2658,IF(F2658="BUY",H2658-G2658)))*E2658</f>
        <v>0</v>
      </c>
      <c r="L2658" s="51">
        <v>0</v>
      </c>
      <c r="M2658" s="51">
        <v>0</v>
      </c>
      <c r="N2658" s="2">
        <f t="shared" si="3673"/>
        <v>0</v>
      </c>
      <c r="O2658" s="2">
        <f t="shared" si="3681"/>
        <v>0</v>
      </c>
      <c r="P2658" s="13"/>
      <c r="Q2658" s="13"/>
      <c r="R2658" s="13"/>
      <c r="S2658" s="13"/>
      <c r="T2658" s="13"/>
      <c r="U2658" s="13"/>
      <c r="V2658" s="13"/>
      <c r="W2658" s="13"/>
      <c r="X2658" s="13"/>
      <c r="Y2658" s="13"/>
      <c r="Z2658" s="13"/>
      <c r="AA2658" s="13"/>
      <c r="AB2658" s="13"/>
      <c r="AC2658" s="13"/>
      <c r="AD2658" s="13"/>
      <c r="AE2658" s="13"/>
      <c r="AF2658" s="13"/>
      <c r="AG2658" s="13"/>
    </row>
    <row r="2659" spans="1:33" s="14" customFormat="1" ht="15" customHeight="1">
      <c r="A2659" s="10">
        <v>42837</v>
      </c>
      <c r="B2659" s="3" t="s">
        <v>76</v>
      </c>
      <c r="C2659" s="15" t="s">
        <v>47</v>
      </c>
      <c r="D2659" s="15">
        <v>9100</v>
      </c>
      <c r="E2659" s="11">
        <v>75</v>
      </c>
      <c r="F2659" s="3" t="s">
        <v>8</v>
      </c>
      <c r="G2659" s="46">
        <v>142</v>
      </c>
      <c r="H2659" s="3">
        <v>150</v>
      </c>
      <c r="I2659" s="46">
        <v>160</v>
      </c>
      <c r="J2659" s="55">
        <v>0</v>
      </c>
      <c r="K2659" s="1">
        <f t="shared" si="3682"/>
        <v>600</v>
      </c>
      <c r="L2659" s="51">
        <f t="shared" ref="L2659:L2669" si="3683">(IF(F2659="SELL",IF(I2659="",0,H2659-I2659),IF(F2659="BUY",IF(I2659="",0,I2659-H2659))))*E2659</f>
        <v>750</v>
      </c>
      <c r="M2659" s="51">
        <v>0</v>
      </c>
      <c r="N2659" s="2">
        <f t="shared" si="3673"/>
        <v>18</v>
      </c>
      <c r="O2659" s="2">
        <f t="shared" si="3681"/>
        <v>1350</v>
      </c>
      <c r="P2659" s="13"/>
      <c r="Q2659" s="13"/>
      <c r="R2659" s="13"/>
      <c r="S2659" s="13"/>
      <c r="T2659" s="13"/>
      <c r="U2659" s="13"/>
      <c r="V2659" s="13"/>
      <c r="W2659" s="13"/>
      <c r="X2659" s="13"/>
      <c r="Y2659" s="13"/>
      <c r="Z2659" s="13"/>
      <c r="AA2659" s="13"/>
      <c r="AB2659" s="13"/>
      <c r="AC2659" s="13"/>
      <c r="AD2659" s="13"/>
      <c r="AE2659" s="13"/>
      <c r="AF2659" s="13"/>
      <c r="AG2659" s="13"/>
    </row>
    <row r="2660" spans="1:33" s="14" customFormat="1" ht="15" customHeight="1">
      <c r="A2660" s="10">
        <v>42837</v>
      </c>
      <c r="B2660" s="3" t="s">
        <v>83</v>
      </c>
      <c r="C2660" s="15" t="s">
        <v>47</v>
      </c>
      <c r="D2660" s="15">
        <v>21500</v>
      </c>
      <c r="E2660" s="11">
        <v>40</v>
      </c>
      <c r="F2660" s="3" t="s">
        <v>8</v>
      </c>
      <c r="G2660" s="46">
        <v>305</v>
      </c>
      <c r="H2660" s="3">
        <v>320</v>
      </c>
      <c r="I2660" s="46">
        <v>420</v>
      </c>
      <c r="J2660" s="55">
        <v>0</v>
      </c>
      <c r="K2660" s="1">
        <f t="shared" si="3682"/>
        <v>600</v>
      </c>
      <c r="L2660" s="51">
        <f t="shared" si="3683"/>
        <v>4000</v>
      </c>
      <c r="M2660" s="51">
        <v>0</v>
      </c>
      <c r="N2660" s="2">
        <f t="shared" si="3673"/>
        <v>115</v>
      </c>
      <c r="O2660" s="2">
        <f t="shared" si="3681"/>
        <v>4600</v>
      </c>
      <c r="P2660" s="13"/>
      <c r="Q2660" s="13"/>
      <c r="R2660" s="13"/>
      <c r="S2660" s="13"/>
      <c r="T2660" s="13"/>
      <c r="U2660" s="13"/>
      <c r="V2660" s="13"/>
      <c r="W2660" s="13"/>
      <c r="X2660" s="13"/>
      <c r="Y2660" s="13"/>
      <c r="Z2660" s="13"/>
      <c r="AA2660" s="13"/>
      <c r="AB2660" s="13"/>
      <c r="AC2660" s="13"/>
      <c r="AD2660" s="13"/>
      <c r="AE2660" s="13"/>
      <c r="AF2660" s="13"/>
      <c r="AG2660" s="13"/>
    </row>
    <row r="2661" spans="1:33" s="14" customFormat="1" ht="15" customHeight="1">
      <c r="A2661" s="10">
        <v>42837</v>
      </c>
      <c r="B2661" s="3" t="s">
        <v>57</v>
      </c>
      <c r="C2661" s="15" t="s">
        <v>47</v>
      </c>
      <c r="D2661" s="15">
        <v>140</v>
      </c>
      <c r="E2661" s="11">
        <v>6000</v>
      </c>
      <c r="F2661" s="3" t="s">
        <v>8</v>
      </c>
      <c r="G2661" s="46">
        <v>6.4</v>
      </c>
      <c r="H2661" s="3">
        <v>6.6</v>
      </c>
      <c r="I2661" s="46">
        <v>6.9</v>
      </c>
      <c r="J2661" s="55">
        <v>0</v>
      </c>
      <c r="K2661" s="1">
        <f t="shared" si="3682"/>
        <v>1199.9999999999957</v>
      </c>
      <c r="L2661" s="51">
        <f t="shared" si="3683"/>
        <v>1800.0000000000043</v>
      </c>
      <c r="M2661" s="51">
        <v>0</v>
      </c>
      <c r="N2661" s="2">
        <f t="shared" si="3673"/>
        <v>0.5</v>
      </c>
      <c r="O2661" s="2">
        <f t="shared" si="3681"/>
        <v>3000</v>
      </c>
      <c r="P2661" s="13"/>
      <c r="Q2661" s="13"/>
      <c r="R2661" s="13"/>
      <c r="S2661" s="13"/>
      <c r="T2661" s="13"/>
      <c r="U2661" s="13"/>
      <c r="V2661" s="13"/>
      <c r="W2661" s="13"/>
      <c r="X2661" s="13"/>
      <c r="Y2661" s="13"/>
      <c r="Z2661" s="13"/>
      <c r="AA2661" s="13"/>
      <c r="AB2661" s="13"/>
      <c r="AC2661" s="13"/>
      <c r="AD2661" s="13"/>
      <c r="AE2661" s="13"/>
      <c r="AF2661" s="13"/>
      <c r="AG2661" s="13"/>
    </row>
    <row r="2662" spans="1:33" s="14" customFormat="1" ht="15" customHeight="1">
      <c r="A2662" s="10">
        <v>42837</v>
      </c>
      <c r="B2662" s="3" t="s">
        <v>15</v>
      </c>
      <c r="C2662" s="15" t="s">
        <v>47</v>
      </c>
      <c r="D2662" s="15">
        <v>460</v>
      </c>
      <c r="E2662" s="11">
        <v>2000</v>
      </c>
      <c r="F2662" s="3" t="s">
        <v>8</v>
      </c>
      <c r="G2662" s="46">
        <v>9.6999999999999993</v>
      </c>
      <c r="H2662" s="3">
        <v>10.199999999999999</v>
      </c>
      <c r="I2662" s="46">
        <v>0</v>
      </c>
      <c r="J2662" s="55">
        <v>0</v>
      </c>
      <c r="K2662" s="1">
        <f t="shared" si="3682"/>
        <v>1000</v>
      </c>
      <c r="L2662" s="51">
        <v>0</v>
      </c>
      <c r="M2662" s="51">
        <v>0</v>
      </c>
      <c r="N2662" s="2">
        <f t="shared" si="3673"/>
        <v>0.5</v>
      </c>
      <c r="O2662" s="2">
        <f t="shared" si="3681"/>
        <v>1000</v>
      </c>
      <c r="P2662" s="13"/>
      <c r="Q2662" s="13"/>
      <c r="R2662" s="13"/>
      <c r="S2662" s="13"/>
      <c r="T2662" s="13"/>
      <c r="U2662" s="13"/>
      <c r="V2662" s="13"/>
      <c r="W2662" s="13"/>
      <c r="X2662" s="13"/>
      <c r="Y2662" s="13"/>
      <c r="Z2662" s="13"/>
      <c r="AA2662" s="13"/>
      <c r="AB2662" s="13"/>
      <c r="AC2662" s="13"/>
      <c r="AD2662" s="13"/>
      <c r="AE2662" s="13"/>
      <c r="AF2662" s="13"/>
      <c r="AG2662" s="13"/>
    </row>
    <row r="2663" spans="1:33" s="14" customFormat="1" ht="15" customHeight="1">
      <c r="A2663" s="10">
        <v>42837</v>
      </c>
      <c r="B2663" s="3" t="s">
        <v>76</v>
      </c>
      <c r="C2663" s="15" t="s">
        <v>46</v>
      </c>
      <c r="D2663" s="15">
        <v>9200</v>
      </c>
      <c r="E2663" s="11">
        <v>75</v>
      </c>
      <c r="F2663" s="3" t="s">
        <v>8</v>
      </c>
      <c r="G2663" s="46">
        <v>65</v>
      </c>
      <c r="H2663" s="3">
        <v>75</v>
      </c>
      <c r="I2663" s="46">
        <v>85</v>
      </c>
      <c r="J2663" s="55">
        <v>0</v>
      </c>
      <c r="K2663" s="1">
        <f t="shared" si="3682"/>
        <v>750</v>
      </c>
      <c r="L2663" s="51">
        <f t="shared" si="3683"/>
        <v>750</v>
      </c>
      <c r="M2663" s="51">
        <v>0</v>
      </c>
      <c r="N2663" s="2">
        <f t="shared" si="3673"/>
        <v>20</v>
      </c>
      <c r="O2663" s="2">
        <f t="shared" si="3681"/>
        <v>1500</v>
      </c>
      <c r="P2663" s="13"/>
      <c r="Q2663" s="13"/>
      <c r="R2663" s="13"/>
      <c r="S2663" s="13"/>
      <c r="T2663" s="13"/>
      <c r="U2663" s="13"/>
      <c r="V2663" s="13"/>
      <c r="W2663" s="13"/>
      <c r="X2663" s="13"/>
      <c r="Y2663" s="13"/>
      <c r="Z2663" s="13"/>
      <c r="AA2663" s="13"/>
      <c r="AB2663" s="13"/>
      <c r="AC2663" s="13"/>
      <c r="AD2663" s="13"/>
      <c r="AE2663" s="13"/>
      <c r="AF2663" s="13"/>
      <c r="AG2663" s="13"/>
    </row>
    <row r="2664" spans="1:33" s="14" customFormat="1" ht="15" customHeight="1">
      <c r="A2664" s="10">
        <v>42837</v>
      </c>
      <c r="B2664" s="3" t="s">
        <v>62</v>
      </c>
      <c r="C2664" s="15" t="s">
        <v>47</v>
      </c>
      <c r="D2664" s="15">
        <v>165</v>
      </c>
      <c r="E2664" s="11">
        <v>6000</v>
      </c>
      <c r="F2664" s="3" t="s">
        <v>8</v>
      </c>
      <c r="G2664" s="46">
        <v>6</v>
      </c>
      <c r="H2664" s="3">
        <v>6</v>
      </c>
      <c r="I2664" s="46">
        <v>0</v>
      </c>
      <c r="J2664" s="55">
        <v>0</v>
      </c>
      <c r="K2664" s="1">
        <f t="shared" si="3682"/>
        <v>0</v>
      </c>
      <c r="L2664" s="51">
        <v>0</v>
      </c>
      <c r="M2664" s="51">
        <v>0</v>
      </c>
      <c r="N2664" s="2">
        <f t="shared" si="3673"/>
        <v>0</v>
      </c>
      <c r="O2664" s="2">
        <f t="shared" si="3681"/>
        <v>0</v>
      </c>
      <c r="P2664" s="13"/>
      <c r="Q2664" s="13"/>
      <c r="R2664" s="13"/>
      <c r="S2664" s="13"/>
      <c r="T2664" s="13"/>
      <c r="U2664" s="13"/>
      <c r="V2664" s="13"/>
      <c r="W2664" s="13"/>
      <c r="X2664" s="13"/>
      <c r="Y2664" s="13"/>
      <c r="Z2664" s="13"/>
      <c r="AA2664" s="13"/>
      <c r="AB2664" s="13"/>
      <c r="AC2664" s="13"/>
      <c r="AD2664" s="13"/>
      <c r="AE2664" s="13"/>
      <c r="AF2664" s="13"/>
      <c r="AG2664" s="13"/>
    </row>
    <row r="2665" spans="1:33" s="14" customFormat="1" ht="15" customHeight="1">
      <c r="A2665" s="10">
        <v>42837</v>
      </c>
      <c r="B2665" s="3" t="s">
        <v>85</v>
      </c>
      <c r="C2665" s="15" t="s">
        <v>47</v>
      </c>
      <c r="D2665" s="15">
        <v>600</v>
      </c>
      <c r="E2665" s="11">
        <v>1000</v>
      </c>
      <c r="F2665" s="3" t="s">
        <v>8</v>
      </c>
      <c r="G2665" s="46">
        <v>17</v>
      </c>
      <c r="H2665" s="3">
        <v>18</v>
      </c>
      <c r="I2665" s="46">
        <v>19.2</v>
      </c>
      <c r="J2665" s="55">
        <v>23</v>
      </c>
      <c r="K2665" s="1">
        <f t="shared" si="3682"/>
        <v>1000</v>
      </c>
      <c r="L2665" s="51">
        <f t="shared" si="3683"/>
        <v>1199.9999999999993</v>
      </c>
      <c r="M2665" s="52">
        <f>(IF(F2665="SELL",IF(J2665="",0,I2665-J2665),IF(F2665="BUY",IF(J2665="",0,(J2665-I2665)))))*E2665</f>
        <v>3800.0000000000009</v>
      </c>
      <c r="N2665" s="2">
        <f t="shared" si="3673"/>
        <v>6</v>
      </c>
      <c r="O2665" s="2">
        <f t="shared" si="3681"/>
        <v>6000</v>
      </c>
      <c r="P2665" s="13"/>
      <c r="Q2665" s="13"/>
      <c r="R2665" s="13"/>
      <c r="S2665" s="13"/>
      <c r="T2665" s="13"/>
      <c r="U2665" s="13"/>
      <c r="V2665" s="13"/>
      <c r="W2665" s="13"/>
      <c r="X2665" s="13"/>
      <c r="Y2665" s="13"/>
      <c r="Z2665" s="13"/>
      <c r="AA2665" s="13"/>
      <c r="AB2665" s="13"/>
      <c r="AC2665" s="13"/>
      <c r="AD2665" s="13"/>
      <c r="AE2665" s="13"/>
      <c r="AF2665" s="13"/>
      <c r="AG2665" s="13"/>
    </row>
    <row r="2666" spans="1:33" s="14" customFormat="1" ht="15" customHeight="1">
      <c r="A2666" s="10">
        <v>42837</v>
      </c>
      <c r="B2666" s="3" t="s">
        <v>91</v>
      </c>
      <c r="C2666" s="15" t="s">
        <v>47</v>
      </c>
      <c r="D2666" s="15">
        <v>420</v>
      </c>
      <c r="E2666" s="11">
        <v>1500</v>
      </c>
      <c r="F2666" s="3" t="s">
        <v>8</v>
      </c>
      <c r="G2666" s="46">
        <v>13.6</v>
      </c>
      <c r="H2666" s="3">
        <v>14.3</v>
      </c>
      <c r="I2666" s="46">
        <v>0</v>
      </c>
      <c r="J2666" s="55">
        <v>0</v>
      </c>
      <c r="K2666" s="1">
        <f t="shared" si="3682"/>
        <v>1050.0000000000016</v>
      </c>
      <c r="L2666" s="51">
        <v>0</v>
      </c>
      <c r="M2666" s="51">
        <v>0</v>
      </c>
      <c r="N2666" s="2">
        <f t="shared" si="3673"/>
        <v>0.70000000000000107</v>
      </c>
      <c r="O2666" s="2">
        <f t="shared" si="3681"/>
        <v>1050.0000000000016</v>
      </c>
      <c r="P2666" s="13"/>
      <c r="Q2666" s="13"/>
      <c r="R2666" s="13"/>
      <c r="S2666" s="13"/>
      <c r="T2666" s="13"/>
      <c r="U2666" s="13"/>
      <c r="V2666" s="13"/>
      <c r="W2666" s="13"/>
      <c r="X2666" s="13"/>
      <c r="Y2666" s="13"/>
      <c r="Z2666" s="13"/>
      <c r="AA2666" s="13"/>
      <c r="AB2666" s="13"/>
      <c r="AC2666" s="13"/>
      <c r="AD2666" s="13"/>
      <c r="AE2666" s="13"/>
      <c r="AF2666" s="13"/>
      <c r="AG2666" s="13"/>
    </row>
    <row r="2667" spans="1:33" s="14" customFormat="1" ht="15" customHeight="1">
      <c r="A2667" s="10">
        <v>42836</v>
      </c>
      <c r="B2667" s="3" t="s">
        <v>57</v>
      </c>
      <c r="C2667" s="15" t="s">
        <v>47</v>
      </c>
      <c r="D2667" s="15">
        <v>140</v>
      </c>
      <c r="E2667" s="11">
        <v>6000</v>
      </c>
      <c r="F2667" s="3" t="s">
        <v>8</v>
      </c>
      <c r="G2667" s="46">
        <v>8.1999999999999993</v>
      </c>
      <c r="H2667" s="3">
        <v>8.4</v>
      </c>
      <c r="I2667" s="46">
        <v>8.6999999999999993</v>
      </c>
      <c r="J2667" s="55">
        <v>0</v>
      </c>
      <c r="K2667" s="1">
        <f t="shared" si="3682"/>
        <v>1200.0000000000064</v>
      </c>
      <c r="L2667" s="51">
        <f t="shared" si="3683"/>
        <v>1799.9999999999936</v>
      </c>
      <c r="M2667" s="51">
        <v>0</v>
      </c>
      <c r="N2667" s="2">
        <f t="shared" si="3673"/>
        <v>0.5</v>
      </c>
      <c r="O2667" s="2">
        <f t="shared" si="3681"/>
        <v>3000</v>
      </c>
      <c r="P2667" s="13"/>
      <c r="Q2667" s="13"/>
      <c r="R2667" s="13"/>
      <c r="S2667" s="13"/>
      <c r="T2667" s="13"/>
      <c r="U2667" s="13"/>
      <c r="V2667" s="13"/>
      <c r="W2667" s="13"/>
      <c r="X2667" s="13"/>
      <c r="Y2667" s="13"/>
      <c r="Z2667" s="13"/>
      <c r="AA2667" s="13"/>
      <c r="AB2667" s="13"/>
      <c r="AC2667" s="13"/>
      <c r="AD2667" s="13"/>
      <c r="AE2667" s="13"/>
      <c r="AF2667" s="13"/>
      <c r="AG2667" s="13"/>
    </row>
    <row r="2668" spans="1:33" s="14" customFormat="1" ht="15" customHeight="1">
      <c r="A2668" s="10">
        <v>42836</v>
      </c>
      <c r="B2668" s="3" t="s">
        <v>83</v>
      </c>
      <c r="C2668" s="15" t="s">
        <v>47</v>
      </c>
      <c r="D2668" s="15">
        <v>21500</v>
      </c>
      <c r="E2668" s="11">
        <v>40</v>
      </c>
      <c r="F2668" s="3" t="s">
        <v>8</v>
      </c>
      <c r="G2668" s="46">
        <v>285</v>
      </c>
      <c r="H2668" s="3">
        <v>300</v>
      </c>
      <c r="I2668" s="46">
        <v>330</v>
      </c>
      <c r="J2668" s="55">
        <v>380</v>
      </c>
      <c r="K2668" s="1">
        <f t="shared" si="3682"/>
        <v>600</v>
      </c>
      <c r="L2668" s="51">
        <f t="shared" si="3683"/>
        <v>1200</v>
      </c>
      <c r="M2668" s="52">
        <f>(IF(F2668="SELL",IF(J2668="",0,I2668-J2668),IF(F2668="BUY",IF(J2668="",0,(J2668-I2668)))))*E2668</f>
        <v>2000</v>
      </c>
      <c r="N2668" s="2">
        <f t="shared" si="3673"/>
        <v>95</v>
      </c>
      <c r="O2668" s="2">
        <f t="shared" si="3681"/>
        <v>3800</v>
      </c>
      <c r="P2668" s="13"/>
      <c r="Q2668" s="13"/>
      <c r="R2668" s="13"/>
      <c r="S2668" s="13"/>
      <c r="T2668" s="13"/>
      <c r="U2668" s="13"/>
      <c r="V2668" s="13"/>
      <c r="W2668" s="13"/>
      <c r="X2668" s="13"/>
      <c r="Y2668" s="13"/>
      <c r="Z2668" s="13"/>
      <c r="AA2668" s="13"/>
      <c r="AB2668" s="13"/>
      <c r="AC2668" s="13"/>
      <c r="AD2668" s="13"/>
      <c r="AE2668" s="13"/>
      <c r="AF2668" s="13"/>
      <c r="AG2668" s="13"/>
    </row>
    <row r="2669" spans="1:33" ht="15" customHeight="1">
      <c r="A2669" s="10">
        <v>42836</v>
      </c>
      <c r="B2669" s="3" t="s">
        <v>90</v>
      </c>
      <c r="C2669" s="15" t="s">
        <v>47</v>
      </c>
      <c r="D2669" s="15">
        <v>185</v>
      </c>
      <c r="E2669" s="11">
        <v>6000</v>
      </c>
      <c r="F2669" s="3" t="s">
        <v>8</v>
      </c>
      <c r="G2669" s="46">
        <v>7.7</v>
      </c>
      <c r="H2669" s="3">
        <v>7.9</v>
      </c>
      <c r="I2669" s="46">
        <v>8.1999999999999993</v>
      </c>
      <c r="J2669" s="55">
        <v>9</v>
      </c>
      <c r="K2669" s="1">
        <f t="shared" si="3682"/>
        <v>1200.0000000000011</v>
      </c>
      <c r="L2669" s="51">
        <f t="shared" si="3683"/>
        <v>1799.9999999999936</v>
      </c>
      <c r="M2669" s="52">
        <f>(IF(F2669="SELL",IF(J2669="",0,I2669-J2669),IF(F2669="BUY",IF(J2669="",0,(J2669-I2669)))))*E2669</f>
        <v>4800.0000000000045</v>
      </c>
      <c r="N2669" s="2">
        <f t="shared" si="3673"/>
        <v>1.2999999999999998</v>
      </c>
      <c r="O2669" s="2">
        <f t="shared" si="3681"/>
        <v>7799.9999999999991</v>
      </c>
      <c r="P2669" s="24"/>
      <c r="Q2669" s="24"/>
      <c r="R2669" s="24"/>
      <c r="S2669" s="24"/>
      <c r="T2669" s="24"/>
      <c r="U2669" s="24"/>
      <c r="V2669" s="24"/>
      <c r="W2669" s="24"/>
      <c r="X2669" s="24"/>
      <c r="Y2669" s="24"/>
      <c r="Z2669" s="24"/>
      <c r="AA2669" s="24"/>
      <c r="AB2669" s="24"/>
      <c r="AC2669" s="24"/>
      <c r="AD2669" s="24"/>
      <c r="AE2669" s="24"/>
      <c r="AF2669" s="24"/>
      <c r="AG2669" s="24"/>
    </row>
    <row r="2670" spans="1:33" ht="15" customHeight="1">
      <c r="A2670" s="10">
        <v>42836</v>
      </c>
      <c r="B2670" s="3" t="s">
        <v>89</v>
      </c>
      <c r="C2670" s="15" t="s">
        <v>47</v>
      </c>
      <c r="D2670" s="15">
        <v>540</v>
      </c>
      <c r="E2670" s="11">
        <v>1100</v>
      </c>
      <c r="F2670" s="3" t="s">
        <v>8</v>
      </c>
      <c r="G2670" s="46">
        <v>29</v>
      </c>
      <c r="H2670" s="3">
        <v>29</v>
      </c>
      <c r="I2670" s="46">
        <v>0</v>
      </c>
      <c r="J2670" s="55">
        <v>0</v>
      </c>
      <c r="K2670" s="1">
        <f t="shared" si="3682"/>
        <v>0</v>
      </c>
      <c r="L2670" s="51">
        <v>0</v>
      </c>
      <c r="M2670" s="52">
        <f>(IF(F2670="SELL",IF(J2670="",0,I2670-J2670),IF(F2670="BUY",IF(J2670="",0,(J2670-I2670)))))*E2670</f>
        <v>0</v>
      </c>
      <c r="N2670" s="2">
        <f t="shared" si="3673"/>
        <v>0</v>
      </c>
      <c r="O2670" s="2">
        <f t="shared" si="3681"/>
        <v>0</v>
      </c>
      <c r="P2670" s="24"/>
      <c r="Q2670" s="24"/>
      <c r="R2670" s="24"/>
      <c r="S2670" s="24"/>
      <c r="T2670" s="24"/>
      <c r="U2670" s="24"/>
      <c r="V2670" s="24"/>
      <c r="W2670" s="24"/>
      <c r="X2670" s="24"/>
      <c r="Y2670" s="24"/>
      <c r="Z2670" s="24"/>
      <c r="AA2670" s="24"/>
      <c r="AB2670" s="24"/>
      <c r="AC2670" s="24"/>
      <c r="AD2670" s="24"/>
      <c r="AE2670" s="24"/>
      <c r="AF2670" s="24"/>
      <c r="AG2670" s="24"/>
    </row>
    <row r="2671" spans="1:33" ht="15" customHeight="1">
      <c r="A2671" s="10">
        <v>42836</v>
      </c>
      <c r="B2671" s="3" t="s">
        <v>76</v>
      </c>
      <c r="C2671" s="15" t="s">
        <v>46</v>
      </c>
      <c r="D2671" s="15">
        <v>9200</v>
      </c>
      <c r="E2671" s="11">
        <v>75</v>
      </c>
      <c r="F2671" s="3" t="s">
        <v>8</v>
      </c>
      <c r="G2671" s="46">
        <v>80</v>
      </c>
      <c r="H2671" s="3">
        <v>65</v>
      </c>
      <c r="I2671" s="46">
        <v>0</v>
      </c>
      <c r="J2671" s="55">
        <v>0</v>
      </c>
      <c r="K2671" s="1">
        <f t="shared" ref="K2671" si="3684">(IF(F2671="SELL",G2671-H2671,IF(F2671="BUY",H2671-G2671)))*E2671</f>
        <v>-1125</v>
      </c>
      <c r="L2671" s="51">
        <v>0</v>
      </c>
      <c r="M2671" s="52">
        <f>(IF(F2671="SELL",IF(J2671="",0,I2671-J2671),IF(F2671="BUY",IF(J2671="",0,(J2671-I2671)))))*E2671</f>
        <v>0</v>
      </c>
      <c r="N2671" s="2">
        <f t="shared" si="3673"/>
        <v>-15</v>
      </c>
      <c r="O2671" s="2">
        <f t="shared" si="3681"/>
        <v>-1125</v>
      </c>
      <c r="P2671" s="24"/>
      <c r="Q2671" s="24"/>
      <c r="R2671" s="24"/>
      <c r="S2671" s="24"/>
      <c r="T2671" s="24"/>
      <c r="U2671" s="24"/>
      <c r="V2671" s="24"/>
      <c r="W2671" s="24"/>
      <c r="X2671" s="24"/>
      <c r="Y2671" s="24"/>
      <c r="Z2671" s="24"/>
      <c r="AA2671" s="24"/>
      <c r="AB2671" s="24"/>
      <c r="AC2671" s="24"/>
      <c r="AD2671" s="24"/>
      <c r="AE2671" s="24"/>
      <c r="AF2671" s="24"/>
      <c r="AG2671" s="24"/>
    </row>
    <row r="2672" spans="1:33" ht="15" customHeight="1">
      <c r="A2672" s="10">
        <v>42836</v>
      </c>
      <c r="B2672" s="3" t="s">
        <v>89</v>
      </c>
      <c r="C2672" s="15" t="s">
        <v>47</v>
      </c>
      <c r="D2672" s="15">
        <v>540</v>
      </c>
      <c r="E2672" s="11">
        <v>1100</v>
      </c>
      <c r="F2672" s="3" t="s">
        <v>8</v>
      </c>
      <c r="G2672" s="46">
        <v>18</v>
      </c>
      <c r="H2672" s="3">
        <v>19</v>
      </c>
      <c r="I2672" s="46">
        <v>20.2</v>
      </c>
      <c r="J2672" s="55">
        <v>0</v>
      </c>
      <c r="K2672" s="1">
        <f>(IF(F2672="SELL",G2672-H2672,IF(F2672="BUY",H2672-G2672)))*E2672</f>
        <v>1100</v>
      </c>
      <c r="L2672" s="51">
        <f t="shared" ref="L2672:L2674" si="3685">(IF(F2672="SELL",IF(I2672="",0,H2672-I2672),IF(F2672="BUY",IF(I2672="",0,I2672-H2672))))*E2672</f>
        <v>1319.9999999999993</v>
      </c>
      <c r="M2672" s="52">
        <v>0</v>
      </c>
      <c r="N2672" s="2">
        <f t="shared" si="3673"/>
        <v>2.1999999999999993</v>
      </c>
      <c r="O2672" s="2">
        <f t="shared" si="3681"/>
        <v>2419.9999999999991</v>
      </c>
      <c r="P2672" s="24"/>
      <c r="Q2672" s="24"/>
      <c r="R2672" s="24"/>
      <c r="S2672" s="24"/>
      <c r="T2672" s="24"/>
      <c r="U2672" s="24"/>
      <c r="V2672" s="24"/>
      <c r="W2672" s="24"/>
      <c r="X2672" s="24"/>
      <c r="Y2672" s="24"/>
      <c r="Z2672" s="24"/>
      <c r="AA2672" s="24"/>
      <c r="AB2672" s="24"/>
      <c r="AC2672" s="24"/>
      <c r="AD2672" s="24"/>
      <c r="AE2672" s="24"/>
      <c r="AF2672" s="24"/>
      <c r="AG2672" s="24"/>
    </row>
    <row r="2673" spans="1:33" ht="15" customHeight="1">
      <c r="A2673" s="10">
        <v>42835</v>
      </c>
      <c r="B2673" s="3" t="s">
        <v>15</v>
      </c>
      <c r="C2673" s="15" t="s">
        <v>47</v>
      </c>
      <c r="D2673" s="15">
        <v>460</v>
      </c>
      <c r="E2673" s="11">
        <v>2000</v>
      </c>
      <c r="F2673" s="3" t="s">
        <v>8</v>
      </c>
      <c r="G2673" s="46">
        <v>15</v>
      </c>
      <c r="H2673" s="3">
        <v>13.8</v>
      </c>
      <c r="I2673" s="46">
        <v>0</v>
      </c>
      <c r="J2673" s="55">
        <v>0</v>
      </c>
      <c r="K2673" s="1">
        <f>(IF(F2673="SELL",G2673-H2673,IF(F2673="BUY",H2673-G2673)))*E2673</f>
        <v>-2399.9999999999986</v>
      </c>
      <c r="L2673" s="51">
        <v>0</v>
      </c>
      <c r="M2673" s="52">
        <f>(IF(F2673="SELL",IF(J2673="",0,I2673-J2673),IF(F2673="BUY",IF(J2673="",0,(J2673-I2673)))))*E2673</f>
        <v>0</v>
      </c>
      <c r="N2673" s="2">
        <f t="shared" si="3673"/>
        <v>-1.1999999999999993</v>
      </c>
      <c r="O2673" s="2">
        <f t="shared" si="3681"/>
        <v>-2399.9999999999986</v>
      </c>
      <c r="P2673" s="24"/>
      <c r="Q2673" s="24"/>
      <c r="R2673" s="24"/>
      <c r="S2673" s="24"/>
      <c r="T2673" s="24"/>
      <c r="U2673" s="24"/>
      <c r="V2673" s="24"/>
      <c r="W2673" s="24"/>
      <c r="X2673" s="24"/>
      <c r="Y2673" s="24"/>
      <c r="Z2673" s="24"/>
      <c r="AA2673" s="24"/>
      <c r="AB2673" s="24"/>
      <c r="AC2673" s="24"/>
      <c r="AD2673" s="24"/>
      <c r="AE2673" s="24"/>
      <c r="AF2673" s="24"/>
      <c r="AG2673" s="24"/>
    </row>
    <row r="2674" spans="1:33" ht="15" customHeight="1">
      <c r="A2674" s="10">
        <v>42835</v>
      </c>
      <c r="B2674" s="3" t="s">
        <v>83</v>
      </c>
      <c r="C2674" s="15" t="s">
        <v>47</v>
      </c>
      <c r="D2674" s="15">
        <v>21400</v>
      </c>
      <c r="E2674" s="11">
        <v>40</v>
      </c>
      <c r="F2674" s="3" t="s">
        <v>8</v>
      </c>
      <c r="G2674" s="46">
        <v>275</v>
      </c>
      <c r="H2674" s="3">
        <v>290</v>
      </c>
      <c r="I2674" s="46">
        <v>320</v>
      </c>
      <c r="J2674" s="55">
        <v>0</v>
      </c>
      <c r="K2674" s="1">
        <f>(IF(F2674="SELL",G2674-H2674,IF(F2674="BUY",H2674-G2674)))*E2674</f>
        <v>600</v>
      </c>
      <c r="L2674" s="51">
        <f t="shared" si="3685"/>
        <v>1200</v>
      </c>
      <c r="M2674" s="52">
        <v>0</v>
      </c>
      <c r="N2674" s="2">
        <f t="shared" si="3673"/>
        <v>45</v>
      </c>
      <c r="O2674" s="2">
        <f t="shared" si="3681"/>
        <v>1800</v>
      </c>
      <c r="P2674" s="24"/>
      <c r="Q2674" s="24"/>
      <c r="R2674" s="24"/>
      <c r="S2674" s="24"/>
      <c r="T2674" s="24"/>
      <c r="U2674" s="24"/>
      <c r="V2674" s="24"/>
      <c r="W2674" s="24"/>
      <c r="X2674" s="24"/>
      <c r="Y2674" s="24"/>
      <c r="Z2674" s="24"/>
      <c r="AA2674" s="24"/>
      <c r="AB2674" s="24"/>
      <c r="AC2674" s="24"/>
      <c r="AD2674" s="24"/>
      <c r="AE2674" s="24"/>
      <c r="AF2674" s="24"/>
      <c r="AG2674" s="24"/>
    </row>
    <row r="2675" spans="1:33" ht="15" customHeight="1">
      <c r="A2675" s="10">
        <v>42835</v>
      </c>
      <c r="B2675" s="3" t="s">
        <v>72</v>
      </c>
      <c r="C2675" s="15" t="s">
        <v>47</v>
      </c>
      <c r="D2675" s="15">
        <v>700</v>
      </c>
      <c r="E2675" s="11">
        <v>1200</v>
      </c>
      <c r="F2675" s="3" t="s">
        <v>8</v>
      </c>
      <c r="G2675" s="46">
        <v>15</v>
      </c>
      <c r="H2675" s="3">
        <v>16</v>
      </c>
      <c r="I2675" s="46">
        <v>0</v>
      </c>
      <c r="J2675" s="55">
        <v>0</v>
      </c>
      <c r="K2675" s="1">
        <f>(IF(F2675="SELL",G2675-H2675,IF(F2675="BUY",H2675-G2675)))*E2675</f>
        <v>1200</v>
      </c>
      <c r="L2675" s="51">
        <v>0</v>
      </c>
      <c r="M2675" s="52">
        <f t="shared" ref="M2675:M2684" si="3686">(IF(F2675="SELL",IF(J2675="",0,I2675-J2675),IF(F2675="BUY",IF(J2675="",0,(J2675-I2675)))))*E2675</f>
        <v>0</v>
      </c>
      <c r="N2675" s="2">
        <f t="shared" si="3673"/>
        <v>1</v>
      </c>
      <c r="O2675" s="2">
        <f t="shared" si="3681"/>
        <v>1200</v>
      </c>
      <c r="P2675" s="24"/>
      <c r="Q2675" s="24"/>
      <c r="R2675" s="24"/>
      <c r="S2675" s="24"/>
      <c r="T2675" s="24"/>
      <c r="U2675" s="24"/>
      <c r="V2675" s="24"/>
      <c r="W2675" s="24"/>
      <c r="X2675" s="24"/>
      <c r="Y2675" s="24"/>
      <c r="Z2675" s="24"/>
      <c r="AA2675" s="24"/>
      <c r="AB2675" s="24"/>
      <c r="AC2675" s="24"/>
      <c r="AD2675" s="24"/>
      <c r="AE2675" s="24"/>
      <c r="AF2675" s="24"/>
      <c r="AG2675" s="24"/>
    </row>
    <row r="2676" spans="1:33" ht="15" customHeight="1">
      <c r="A2676" s="10">
        <v>42835</v>
      </c>
      <c r="B2676" s="3" t="s">
        <v>86</v>
      </c>
      <c r="C2676" s="3" t="s">
        <v>47</v>
      </c>
      <c r="D2676" s="3">
        <v>1200</v>
      </c>
      <c r="E2676" s="11">
        <v>500</v>
      </c>
      <c r="F2676" s="3" t="s">
        <v>8</v>
      </c>
      <c r="G2676" s="46">
        <v>47</v>
      </c>
      <c r="H2676" s="3">
        <v>49</v>
      </c>
      <c r="I2676" s="46">
        <v>0</v>
      </c>
      <c r="J2676" s="55">
        <v>0</v>
      </c>
      <c r="K2676" s="1">
        <f t="shared" ref="K2676:K2697" si="3687">(IF(F2676="SELL",G2676-H2676,IF(F2676="BUY",H2676-G2676)))*E2676</f>
        <v>1000</v>
      </c>
      <c r="L2676" s="51">
        <v>0</v>
      </c>
      <c r="M2676" s="52">
        <f t="shared" si="3686"/>
        <v>0</v>
      </c>
      <c r="N2676" s="2">
        <f t="shared" si="3673"/>
        <v>2</v>
      </c>
      <c r="O2676" s="2">
        <f t="shared" si="3681"/>
        <v>1000</v>
      </c>
      <c r="P2676" s="24"/>
      <c r="Q2676" s="24"/>
      <c r="R2676" s="24"/>
      <c r="S2676" s="24"/>
      <c r="T2676" s="24"/>
      <c r="U2676" s="24"/>
      <c r="V2676" s="24"/>
      <c r="W2676" s="24"/>
      <c r="X2676" s="24"/>
      <c r="Y2676" s="24"/>
      <c r="Z2676" s="24"/>
      <c r="AA2676" s="24"/>
      <c r="AB2676" s="24"/>
      <c r="AC2676" s="24"/>
      <c r="AD2676" s="24"/>
      <c r="AE2676" s="24"/>
      <c r="AF2676" s="24"/>
      <c r="AG2676" s="24"/>
    </row>
    <row r="2677" spans="1:33" ht="15" customHeight="1">
      <c r="A2677" s="10">
        <v>42832</v>
      </c>
      <c r="B2677" s="3" t="s">
        <v>85</v>
      </c>
      <c r="C2677" s="3" t="s">
        <v>47</v>
      </c>
      <c r="D2677" s="3">
        <v>610</v>
      </c>
      <c r="E2677" s="11">
        <v>1000</v>
      </c>
      <c r="F2677" s="3" t="s">
        <v>8</v>
      </c>
      <c r="G2677" s="46">
        <v>29</v>
      </c>
      <c r="H2677" s="3">
        <v>29</v>
      </c>
      <c r="I2677" s="46">
        <v>0</v>
      </c>
      <c r="J2677" s="55">
        <v>0</v>
      </c>
      <c r="K2677" s="1">
        <f t="shared" si="3687"/>
        <v>0</v>
      </c>
      <c r="L2677" s="51">
        <v>0</v>
      </c>
      <c r="M2677" s="52">
        <f t="shared" si="3686"/>
        <v>0</v>
      </c>
      <c r="N2677" s="2">
        <f t="shared" si="3673"/>
        <v>0</v>
      </c>
      <c r="O2677" s="2">
        <f t="shared" si="3681"/>
        <v>0</v>
      </c>
      <c r="P2677" s="24"/>
      <c r="Q2677" s="24"/>
      <c r="R2677" s="24"/>
      <c r="S2677" s="24"/>
      <c r="T2677" s="24"/>
      <c r="U2677" s="24"/>
      <c r="V2677" s="24"/>
      <c r="W2677" s="24"/>
      <c r="X2677" s="24"/>
      <c r="Y2677" s="24"/>
      <c r="Z2677" s="24"/>
      <c r="AA2677" s="24"/>
      <c r="AB2677" s="24"/>
      <c r="AC2677" s="24"/>
      <c r="AD2677" s="24"/>
      <c r="AE2677" s="24"/>
      <c r="AF2677" s="24"/>
      <c r="AG2677" s="24"/>
    </row>
    <row r="2678" spans="1:33" ht="15" customHeight="1">
      <c r="A2678" s="10">
        <v>42832</v>
      </c>
      <c r="B2678" s="3" t="s">
        <v>55</v>
      </c>
      <c r="C2678" s="3" t="s">
        <v>47</v>
      </c>
      <c r="D2678" s="3">
        <v>170</v>
      </c>
      <c r="E2678" s="11">
        <v>3500</v>
      </c>
      <c r="F2678" s="3" t="s">
        <v>8</v>
      </c>
      <c r="G2678" s="46">
        <v>7.5</v>
      </c>
      <c r="H2678" s="3">
        <v>7.5</v>
      </c>
      <c r="I2678" s="46">
        <v>0</v>
      </c>
      <c r="J2678" s="55">
        <v>0</v>
      </c>
      <c r="K2678" s="1">
        <f t="shared" si="3687"/>
        <v>0</v>
      </c>
      <c r="L2678" s="51">
        <v>0</v>
      </c>
      <c r="M2678" s="52">
        <f t="shared" si="3686"/>
        <v>0</v>
      </c>
      <c r="N2678" s="2">
        <f t="shared" si="3673"/>
        <v>0</v>
      </c>
      <c r="O2678" s="2">
        <f t="shared" si="3681"/>
        <v>0</v>
      </c>
      <c r="P2678" s="24"/>
      <c r="Q2678" s="24"/>
      <c r="R2678" s="24"/>
      <c r="S2678" s="24"/>
      <c r="T2678" s="24"/>
      <c r="U2678" s="24"/>
      <c r="V2678" s="24"/>
      <c r="W2678" s="24"/>
      <c r="X2678" s="24"/>
      <c r="Y2678" s="24"/>
      <c r="Z2678" s="24"/>
      <c r="AA2678" s="24"/>
      <c r="AB2678" s="24"/>
      <c r="AC2678" s="24"/>
      <c r="AD2678" s="24"/>
      <c r="AE2678" s="24"/>
      <c r="AF2678" s="24"/>
      <c r="AG2678" s="24"/>
    </row>
    <row r="2679" spans="1:33" ht="15" customHeight="1">
      <c r="A2679" s="10">
        <v>42832</v>
      </c>
      <c r="B2679" s="3" t="s">
        <v>83</v>
      </c>
      <c r="C2679" s="3" t="s">
        <v>47</v>
      </c>
      <c r="D2679" s="3">
        <v>21600</v>
      </c>
      <c r="E2679" s="11">
        <v>40</v>
      </c>
      <c r="F2679" s="3" t="s">
        <v>8</v>
      </c>
      <c r="G2679" s="46">
        <v>270</v>
      </c>
      <c r="H2679" s="3">
        <v>270</v>
      </c>
      <c r="I2679" s="46">
        <v>0</v>
      </c>
      <c r="J2679" s="55">
        <v>0</v>
      </c>
      <c r="K2679" s="1">
        <f t="shared" si="3687"/>
        <v>0</v>
      </c>
      <c r="L2679" s="51">
        <v>0</v>
      </c>
      <c r="M2679" s="52">
        <f t="shared" si="3686"/>
        <v>0</v>
      </c>
      <c r="N2679" s="2">
        <f t="shared" si="3673"/>
        <v>0</v>
      </c>
      <c r="O2679" s="2">
        <f t="shared" si="3681"/>
        <v>0</v>
      </c>
      <c r="P2679" s="24"/>
      <c r="Q2679" s="24"/>
      <c r="R2679" s="24"/>
      <c r="S2679" s="24"/>
      <c r="T2679" s="24"/>
      <c r="U2679" s="24"/>
      <c r="V2679" s="24"/>
      <c r="W2679" s="24"/>
      <c r="X2679" s="24"/>
      <c r="Y2679" s="24"/>
      <c r="Z2679" s="24"/>
      <c r="AA2679" s="24"/>
      <c r="AB2679" s="24"/>
      <c r="AC2679" s="24"/>
      <c r="AD2679" s="24"/>
      <c r="AE2679" s="24"/>
      <c r="AF2679" s="24"/>
      <c r="AG2679" s="24"/>
    </row>
    <row r="2680" spans="1:33" ht="15" customHeight="1">
      <c r="A2680" s="10">
        <v>42832</v>
      </c>
      <c r="B2680" s="3" t="s">
        <v>15</v>
      </c>
      <c r="C2680" s="3" t="s">
        <v>47</v>
      </c>
      <c r="D2680" s="3">
        <v>460</v>
      </c>
      <c r="E2680" s="11">
        <v>2000</v>
      </c>
      <c r="F2680" s="3" t="s">
        <v>8</v>
      </c>
      <c r="G2680" s="46">
        <v>9.6999999999999993</v>
      </c>
      <c r="H2680" s="3">
        <v>10.199999999999999</v>
      </c>
      <c r="I2680" s="46">
        <v>11.8</v>
      </c>
      <c r="J2680" s="55">
        <v>12.5</v>
      </c>
      <c r="K2680" s="1">
        <f t="shared" si="3687"/>
        <v>1000</v>
      </c>
      <c r="L2680" s="51">
        <f t="shared" ref="L2680:L2697" si="3688">(IF(F2680="SELL",IF(I2680="",0,H2680-I2680),IF(F2680="BUY",IF(I2680="",0,I2680-H2680))))*E2680</f>
        <v>3200.0000000000027</v>
      </c>
      <c r="M2680" s="52">
        <f t="shared" si="3686"/>
        <v>1399.9999999999986</v>
      </c>
      <c r="N2680" s="2">
        <f t="shared" si="3673"/>
        <v>2.8000000000000007</v>
      </c>
      <c r="O2680" s="2">
        <f t="shared" si="3681"/>
        <v>5600.0000000000018</v>
      </c>
      <c r="P2680" s="24"/>
      <c r="Q2680" s="24"/>
      <c r="R2680" s="24"/>
      <c r="S2680" s="24"/>
      <c r="T2680" s="24"/>
      <c r="U2680" s="24"/>
      <c r="V2680" s="24"/>
      <c r="W2680" s="24"/>
      <c r="X2680" s="24"/>
      <c r="Y2680" s="24"/>
      <c r="Z2680" s="24"/>
      <c r="AA2680" s="24"/>
      <c r="AB2680" s="24"/>
      <c r="AC2680" s="24"/>
      <c r="AD2680" s="24"/>
      <c r="AE2680" s="24"/>
      <c r="AF2680" s="24"/>
      <c r="AG2680" s="24"/>
    </row>
    <row r="2681" spans="1:33" ht="15" customHeight="1">
      <c r="A2681" s="10">
        <v>42832</v>
      </c>
      <c r="B2681" s="3" t="s">
        <v>22</v>
      </c>
      <c r="C2681" s="3" t="s">
        <v>47</v>
      </c>
      <c r="D2681" s="3">
        <v>155</v>
      </c>
      <c r="E2681" s="11">
        <v>5000</v>
      </c>
      <c r="F2681" s="3" t="s">
        <v>8</v>
      </c>
      <c r="G2681" s="46">
        <v>7.3</v>
      </c>
      <c r="H2681" s="3">
        <v>7.5</v>
      </c>
      <c r="I2681" s="46">
        <v>0</v>
      </c>
      <c r="J2681" s="55">
        <v>0</v>
      </c>
      <c r="K2681" s="1">
        <f t="shared" si="3687"/>
        <v>1000.0000000000009</v>
      </c>
      <c r="L2681" s="51">
        <v>0</v>
      </c>
      <c r="M2681" s="52">
        <f t="shared" si="3686"/>
        <v>0</v>
      </c>
      <c r="N2681" s="2">
        <f t="shared" si="3673"/>
        <v>0.20000000000000018</v>
      </c>
      <c r="O2681" s="2">
        <f t="shared" si="3681"/>
        <v>1000.0000000000009</v>
      </c>
      <c r="P2681" s="24"/>
      <c r="Q2681" s="24"/>
      <c r="R2681" s="24"/>
      <c r="S2681" s="24"/>
      <c r="T2681" s="24"/>
      <c r="U2681" s="24"/>
      <c r="V2681" s="24"/>
      <c r="W2681" s="24"/>
      <c r="X2681" s="24"/>
      <c r="Y2681" s="24"/>
      <c r="Z2681" s="24"/>
      <c r="AA2681" s="24"/>
      <c r="AB2681" s="24"/>
      <c r="AC2681" s="24"/>
      <c r="AD2681" s="24"/>
      <c r="AE2681" s="24"/>
      <c r="AF2681" s="24"/>
      <c r="AG2681" s="24"/>
    </row>
    <row r="2682" spans="1:33" ht="15" customHeight="1">
      <c r="A2682" s="10">
        <v>42832</v>
      </c>
      <c r="B2682" s="17" t="s">
        <v>84</v>
      </c>
      <c r="C2682" s="17" t="s">
        <v>46</v>
      </c>
      <c r="D2682" s="17">
        <v>190</v>
      </c>
      <c r="E2682" s="17">
        <v>3200</v>
      </c>
      <c r="F2682" s="17" t="s">
        <v>8</v>
      </c>
      <c r="G2682" s="48">
        <v>7.6</v>
      </c>
      <c r="H2682" s="17">
        <v>7.6</v>
      </c>
      <c r="I2682" s="48">
        <v>0</v>
      </c>
      <c r="J2682" s="56">
        <v>0</v>
      </c>
      <c r="K2682" s="1">
        <f t="shared" si="3687"/>
        <v>0</v>
      </c>
      <c r="L2682" s="51">
        <v>0</v>
      </c>
      <c r="M2682" s="52">
        <f t="shared" si="3686"/>
        <v>0</v>
      </c>
      <c r="N2682" s="2">
        <f t="shared" si="3673"/>
        <v>0</v>
      </c>
      <c r="O2682" s="2">
        <f t="shared" si="3681"/>
        <v>0</v>
      </c>
      <c r="P2682" s="24"/>
      <c r="Q2682" s="24"/>
      <c r="R2682" s="24"/>
      <c r="S2682" s="24"/>
      <c r="T2682" s="24"/>
      <c r="U2682" s="24"/>
      <c r="V2682" s="24"/>
      <c r="W2682" s="24"/>
      <c r="X2682" s="24"/>
      <c r="Y2682" s="24"/>
      <c r="Z2682" s="24"/>
      <c r="AA2682" s="24"/>
      <c r="AB2682" s="24"/>
      <c r="AC2682" s="24"/>
      <c r="AD2682" s="24"/>
      <c r="AE2682" s="24"/>
      <c r="AF2682" s="24"/>
      <c r="AG2682" s="24"/>
    </row>
    <row r="2683" spans="1:33" s="5" customFormat="1" ht="15" customHeight="1">
      <c r="A2683" s="16">
        <v>42831</v>
      </c>
      <c r="B2683" s="17" t="s">
        <v>63</v>
      </c>
      <c r="C2683" s="17" t="s">
        <v>46</v>
      </c>
      <c r="D2683" s="17">
        <v>520</v>
      </c>
      <c r="E2683" s="17">
        <v>2100</v>
      </c>
      <c r="F2683" s="17" t="s">
        <v>8</v>
      </c>
      <c r="G2683" s="48">
        <v>10</v>
      </c>
      <c r="H2683" s="17">
        <v>10</v>
      </c>
      <c r="I2683" s="48">
        <v>0</v>
      </c>
      <c r="J2683" s="56">
        <v>0</v>
      </c>
      <c r="K2683" s="1">
        <f t="shared" si="3687"/>
        <v>0</v>
      </c>
      <c r="L2683" s="51">
        <v>0</v>
      </c>
      <c r="M2683" s="52">
        <f t="shared" si="3686"/>
        <v>0</v>
      </c>
      <c r="N2683" s="2">
        <f t="shared" si="3673"/>
        <v>0</v>
      </c>
      <c r="O2683" s="2">
        <f t="shared" si="3681"/>
        <v>0</v>
      </c>
      <c r="P2683" s="25"/>
      <c r="Q2683" s="25"/>
      <c r="R2683" s="25"/>
      <c r="S2683" s="25"/>
      <c r="T2683" s="25"/>
      <c r="U2683" s="25"/>
      <c r="V2683" s="25"/>
      <c r="W2683" s="25"/>
      <c r="X2683" s="25"/>
      <c r="Y2683" s="25"/>
      <c r="Z2683" s="25"/>
      <c r="AA2683" s="25"/>
      <c r="AB2683" s="25"/>
      <c r="AC2683" s="25"/>
      <c r="AD2683" s="25"/>
      <c r="AE2683" s="25"/>
      <c r="AF2683" s="25"/>
      <c r="AG2683" s="25"/>
    </row>
    <row r="2684" spans="1:33" s="5" customFormat="1" ht="15" customHeight="1">
      <c r="A2684" s="16">
        <v>42831</v>
      </c>
      <c r="B2684" s="17" t="s">
        <v>76</v>
      </c>
      <c r="C2684" s="17" t="s">
        <v>47</v>
      </c>
      <c r="D2684" s="17">
        <v>9100</v>
      </c>
      <c r="E2684" s="17">
        <v>75</v>
      </c>
      <c r="F2684" s="17" t="s">
        <v>8</v>
      </c>
      <c r="G2684" s="48">
        <v>190</v>
      </c>
      <c r="H2684" s="17">
        <v>198</v>
      </c>
      <c r="I2684" s="48">
        <v>0</v>
      </c>
      <c r="J2684" s="56">
        <v>0</v>
      </c>
      <c r="K2684" s="1">
        <f t="shared" si="3687"/>
        <v>600</v>
      </c>
      <c r="L2684" s="51">
        <v>0</v>
      </c>
      <c r="M2684" s="52">
        <f t="shared" si="3686"/>
        <v>0</v>
      </c>
      <c r="N2684" s="2">
        <f t="shared" si="3673"/>
        <v>8</v>
      </c>
      <c r="O2684" s="2">
        <f t="shared" si="3681"/>
        <v>600</v>
      </c>
      <c r="P2684" s="25"/>
      <c r="Q2684" s="25"/>
      <c r="R2684" s="25"/>
      <c r="S2684" s="25"/>
      <c r="T2684" s="25"/>
      <c r="U2684" s="25"/>
      <c r="V2684" s="25"/>
      <c r="W2684" s="25"/>
      <c r="X2684" s="25"/>
      <c r="Y2684" s="25"/>
      <c r="Z2684" s="25"/>
      <c r="AA2684" s="25"/>
      <c r="AB2684" s="25"/>
      <c r="AC2684" s="25"/>
      <c r="AD2684" s="25"/>
      <c r="AE2684" s="25"/>
      <c r="AF2684" s="25"/>
      <c r="AG2684" s="25"/>
    </row>
    <row r="2685" spans="1:33" s="5" customFormat="1" ht="15" customHeight="1">
      <c r="A2685" s="16">
        <v>42831</v>
      </c>
      <c r="B2685" s="17" t="s">
        <v>57</v>
      </c>
      <c r="C2685" s="17" t="s">
        <v>47</v>
      </c>
      <c r="D2685" s="17">
        <v>140</v>
      </c>
      <c r="E2685" s="17">
        <v>6000</v>
      </c>
      <c r="F2685" s="17" t="s">
        <v>8</v>
      </c>
      <c r="G2685" s="48">
        <v>6.9</v>
      </c>
      <c r="H2685" s="17">
        <v>7.1</v>
      </c>
      <c r="I2685" s="48">
        <v>7.4</v>
      </c>
      <c r="J2685" s="56">
        <v>0</v>
      </c>
      <c r="K2685" s="1">
        <f t="shared" si="3687"/>
        <v>1199.9999999999957</v>
      </c>
      <c r="L2685" s="51">
        <f t="shared" si="3688"/>
        <v>1800.0000000000043</v>
      </c>
      <c r="M2685" s="52">
        <v>0</v>
      </c>
      <c r="N2685" s="2">
        <f t="shared" si="3673"/>
        <v>0.5</v>
      </c>
      <c r="O2685" s="2">
        <f t="shared" si="3681"/>
        <v>3000</v>
      </c>
      <c r="P2685" s="25"/>
      <c r="Q2685" s="25"/>
      <c r="R2685" s="25"/>
      <c r="S2685" s="25"/>
      <c r="T2685" s="25"/>
      <c r="U2685" s="25"/>
      <c r="V2685" s="25"/>
      <c r="W2685" s="25"/>
      <c r="X2685" s="25"/>
      <c r="Y2685" s="25"/>
      <c r="Z2685" s="25"/>
      <c r="AA2685" s="25"/>
      <c r="AB2685" s="25"/>
      <c r="AC2685" s="25"/>
      <c r="AD2685" s="25"/>
      <c r="AE2685" s="25"/>
      <c r="AF2685" s="25"/>
      <c r="AG2685" s="25"/>
    </row>
    <row r="2686" spans="1:33" s="5" customFormat="1" ht="15" customHeight="1">
      <c r="A2686" s="16">
        <v>42831</v>
      </c>
      <c r="B2686" s="17" t="s">
        <v>9</v>
      </c>
      <c r="C2686" s="17" t="s">
        <v>47</v>
      </c>
      <c r="D2686" s="17">
        <v>1100</v>
      </c>
      <c r="E2686" s="17">
        <v>600</v>
      </c>
      <c r="F2686" s="17" t="s">
        <v>8</v>
      </c>
      <c r="G2686" s="48">
        <v>36</v>
      </c>
      <c r="H2686" s="17">
        <v>36</v>
      </c>
      <c r="I2686" s="48">
        <v>0</v>
      </c>
      <c r="J2686" s="56">
        <v>0</v>
      </c>
      <c r="K2686" s="1">
        <f t="shared" si="3687"/>
        <v>0</v>
      </c>
      <c r="L2686" s="51">
        <v>0</v>
      </c>
      <c r="M2686" s="52">
        <f>(IF(F2686="SELL",IF(J2686="",0,I2686-J2686),IF(F2686="BUY",IF(J2686="",0,(J2686-I2686)))))*E2686</f>
        <v>0</v>
      </c>
      <c r="N2686" s="2">
        <f t="shared" si="3673"/>
        <v>0</v>
      </c>
      <c r="O2686" s="2">
        <f t="shared" si="3681"/>
        <v>0</v>
      </c>
      <c r="P2686" s="25"/>
      <c r="Q2686" s="25"/>
      <c r="R2686" s="25"/>
      <c r="S2686" s="25"/>
      <c r="T2686" s="25"/>
      <c r="U2686" s="25"/>
      <c r="V2686" s="25"/>
      <c r="W2686" s="25"/>
      <c r="X2686" s="25"/>
      <c r="Y2686" s="25"/>
      <c r="Z2686" s="25"/>
      <c r="AA2686" s="25"/>
      <c r="AB2686" s="25"/>
      <c r="AC2686" s="25"/>
      <c r="AD2686" s="25"/>
      <c r="AE2686" s="25"/>
      <c r="AF2686" s="25"/>
      <c r="AG2686" s="25"/>
    </row>
    <row r="2687" spans="1:33" s="5" customFormat="1" ht="15" customHeight="1">
      <c r="A2687" s="16">
        <v>42831</v>
      </c>
      <c r="B2687" s="18" t="s">
        <v>63</v>
      </c>
      <c r="C2687" s="18" t="s">
        <v>46</v>
      </c>
      <c r="D2687" s="18">
        <v>520</v>
      </c>
      <c r="E2687" s="19">
        <v>2100</v>
      </c>
      <c r="F2687" s="18" t="s">
        <v>8</v>
      </c>
      <c r="G2687" s="49">
        <v>12</v>
      </c>
      <c r="H2687" s="18">
        <v>12</v>
      </c>
      <c r="I2687" s="49">
        <v>0</v>
      </c>
      <c r="J2687" s="56">
        <v>0</v>
      </c>
      <c r="K2687" s="1">
        <f t="shared" si="3687"/>
        <v>0</v>
      </c>
      <c r="L2687" s="51">
        <v>0</v>
      </c>
      <c r="M2687" s="52">
        <f>(IF(F2687="SELL",IF(J2687="",0,I2687-J2687),IF(F2687="BUY",IF(J2687="",0,(J2687-I2687)))))*E2687</f>
        <v>0</v>
      </c>
      <c r="N2687" s="2">
        <f t="shared" si="3673"/>
        <v>0</v>
      </c>
      <c r="O2687" s="2">
        <f t="shared" si="3681"/>
        <v>0</v>
      </c>
      <c r="P2687" s="25"/>
      <c r="Q2687" s="25"/>
      <c r="R2687" s="25"/>
      <c r="S2687" s="25"/>
      <c r="T2687" s="25"/>
      <c r="U2687" s="25"/>
      <c r="V2687" s="25"/>
      <c r="W2687" s="25"/>
      <c r="X2687" s="25"/>
      <c r="Y2687" s="25"/>
      <c r="Z2687" s="25"/>
      <c r="AA2687" s="25"/>
      <c r="AB2687" s="25"/>
      <c r="AC2687" s="25"/>
      <c r="AD2687" s="25"/>
      <c r="AE2687" s="25"/>
      <c r="AF2687" s="25"/>
      <c r="AG2687" s="25"/>
    </row>
    <row r="2688" spans="1:33" s="5" customFormat="1" ht="15" customHeight="1">
      <c r="A2688" s="12">
        <v>42830</v>
      </c>
      <c r="B2688" s="18" t="s">
        <v>83</v>
      </c>
      <c r="C2688" s="20" t="s">
        <v>47</v>
      </c>
      <c r="D2688" s="20">
        <v>21500</v>
      </c>
      <c r="E2688" s="19">
        <v>40</v>
      </c>
      <c r="F2688" s="18" t="s">
        <v>8</v>
      </c>
      <c r="G2688" s="49">
        <v>345</v>
      </c>
      <c r="H2688" s="18">
        <v>360</v>
      </c>
      <c r="I2688" s="49">
        <v>390</v>
      </c>
      <c r="J2688" s="56">
        <v>0</v>
      </c>
      <c r="K2688" s="1">
        <f t="shared" si="3687"/>
        <v>600</v>
      </c>
      <c r="L2688" s="51">
        <f t="shared" si="3688"/>
        <v>1200</v>
      </c>
      <c r="M2688" s="52">
        <v>0</v>
      </c>
      <c r="N2688" s="2">
        <f t="shared" si="3673"/>
        <v>45</v>
      </c>
      <c r="O2688" s="2">
        <f t="shared" si="3681"/>
        <v>1800</v>
      </c>
      <c r="P2688" s="25"/>
      <c r="Q2688" s="25"/>
      <c r="R2688" s="25"/>
      <c r="S2688" s="25"/>
      <c r="T2688" s="25"/>
      <c r="U2688" s="25"/>
      <c r="V2688" s="25"/>
      <c r="W2688" s="25"/>
      <c r="X2688" s="25"/>
      <c r="Y2688" s="25"/>
      <c r="Z2688" s="25"/>
      <c r="AA2688" s="25"/>
      <c r="AB2688" s="25"/>
      <c r="AC2688" s="25"/>
      <c r="AD2688" s="25"/>
      <c r="AE2688" s="25"/>
      <c r="AF2688" s="25"/>
      <c r="AG2688" s="25"/>
    </row>
    <row r="2689" spans="1:33" s="5" customFormat="1" ht="15" customHeight="1">
      <c r="A2689" s="4">
        <v>42830</v>
      </c>
      <c r="B2689" s="18" t="s">
        <v>66</v>
      </c>
      <c r="C2689" s="20" t="s">
        <v>46</v>
      </c>
      <c r="D2689" s="20">
        <v>530</v>
      </c>
      <c r="E2689" s="19">
        <v>1000</v>
      </c>
      <c r="F2689" s="18" t="s">
        <v>8</v>
      </c>
      <c r="G2689" s="49">
        <v>23.5</v>
      </c>
      <c r="H2689" s="18">
        <v>23.5</v>
      </c>
      <c r="I2689" s="49">
        <v>0</v>
      </c>
      <c r="J2689" s="56">
        <v>0</v>
      </c>
      <c r="K2689" s="1">
        <f t="shared" si="3687"/>
        <v>0</v>
      </c>
      <c r="L2689" s="51">
        <v>0</v>
      </c>
      <c r="M2689" s="52">
        <f>(IF(F2689="SELL",IF(J2689="",0,I2689-J2689),IF(F2689="BUY",IF(J2689="",0,(J2689-I2689)))))*E2689</f>
        <v>0</v>
      </c>
      <c r="N2689" s="2">
        <f t="shared" si="3673"/>
        <v>0</v>
      </c>
      <c r="O2689" s="2">
        <f t="shared" si="3681"/>
        <v>0</v>
      </c>
      <c r="P2689" s="25"/>
      <c r="Q2689" s="25"/>
      <c r="R2689" s="25"/>
      <c r="S2689" s="25"/>
      <c r="T2689" s="25"/>
      <c r="U2689" s="25"/>
      <c r="V2689" s="25"/>
      <c r="W2689" s="25"/>
      <c r="X2689" s="25"/>
      <c r="Y2689" s="25"/>
      <c r="Z2689" s="25"/>
      <c r="AA2689" s="25"/>
      <c r="AB2689" s="25"/>
      <c r="AC2689" s="25"/>
      <c r="AD2689" s="25"/>
      <c r="AE2689" s="25"/>
      <c r="AF2689" s="25"/>
      <c r="AG2689" s="25"/>
    </row>
    <row r="2690" spans="1:33" s="5" customFormat="1" ht="15" customHeight="1">
      <c r="A2690" s="4">
        <v>42830</v>
      </c>
      <c r="B2690" s="5" t="s">
        <v>82</v>
      </c>
      <c r="C2690" s="5" t="s">
        <v>46</v>
      </c>
      <c r="D2690" s="5">
        <v>150</v>
      </c>
      <c r="E2690" s="9">
        <v>7000</v>
      </c>
      <c r="F2690" s="5" t="s">
        <v>8</v>
      </c>
      <c r="G2690" s="5">
        <v>6.4</v>
      </c>
      <c r="H2690" s="5">
        <v>6.6</v>
      </c>
      <c r="I2690" s="5">
        <v>6.9</v>
      </c>
      <c r="J2690" s="5">
        <v>0</v>
      </c>
      <c r="K2690" s="1">
        <f t="shared" si="3687"/>
        <v>1399.999999999995</v>
      </c>
      <c r="L2690" s="51">
        <f t="shared" si="3688"/>
        <v>2100.000000000005</v>
      </c>
      <c r="M2690" s="52">
        <v>0</v>
      </c>
      <c r="N2690" s="2">
        <f t="shared" si="3673"/>
        <v>0.5</v>
      </c>
      <c r="O2690" s="2">
        <f t="shared" si="3681"/>
        <v>3500</v>
      </c>
      <c r="P2690" s="25"/>
      <c r="Q2690" s="25"/>
      <c r="R2690" s="25"/>
      <c r="S2690" s="25"/>
      <c r="T2690" s="25"/>
      <c r="U2690" s="25"/>
      <c r="V2690" s="25"/>
      <c r="W2690" s="25"/>
      <c r="X2690" s="25"/>
      <c r="Y2690" s="25"/>
      <c r="Z2690" s="25"/>
      <c r="AA2690" s="25"/>
      <c r="AB2690" s="25"/>
      <c r="AC2690" s="25"/>
      <c r="AD2690" s="25"/>
      <c r="AE2690" s="25"/>
      <c r="AF2690" s="25"/>
      <c r="AG2690" s="25"/>
    </row>
    <row r="2691" spans="1:33" s="5" customFormat="1" ht="15" customHeight="1">
      <c r="A2691" s="4">
        <v>42830</v>
      </c>
      <c r="B2691" s="5" t="s">
        <v>63</v>
      </c>
      <c r="C2691" s="5" t="s">
        <v>46</v>
      </c>
      <c r="D2691" s="5">
        <v>520</v>
      </c>
      <c r="E2691" s="9">
        <v>2100</v>
      </c>
      <c r="F2691" s="5" t="s">
        <v>8</v>
      </c>
      <c r="G2691" s="5">
        <v>13.5</v>
      </c>
      <c r="H2691" s="5">
        <v>14</v>
      </c>
      <c r="I2691" s="5">
        <v>0</v>
      </c>
      <c r="J2691" s="5">
        <v>0</v>
      </c>
      <c r="K2691" s="1">
        <f t="shared" si="3687"/>
        <v>1050</v>
      </c>
      <c r="L2691" s="51">
        <v>0</v>
      </c>
      <c r="M2691" s="52">
        <f t="shared" ref="M2691:M2696" si="3689">(IF(F2691="SELL",IF(J2691="",0,I2691-J2691),IF(F2691="BUY",IF(J2691="",0,(J2691-I2691)))))*E2691</f>
        <v>0</v>
      </c>
      <c r="N2691" s="2">
        <f t="shared" si="3673"/>
        <v>0.5</v>
      </c>
      <c r="O2691" s="2">
        <f t="shared" si="3681"/>
        <v>1050</v>
      </c>
      <c r="P2691" s="25"/>
      <c r="Q2691" s="25"/>
      <c r="R2691" s="25"/>
      <c r="S2691" s="25"/>
      <c r="T2691" s="25"/>
      <c r="U2691" s="25"/>
      <c r="V2691" s="25"/>
      <c r="W2691" s="25"/>
      <c r="X2691" s="25"/>
      <c r="Y2691" s="25"/>
      <c r="Z2691" s="25"/>
      <c r="AA2691" s="25"/>
      <c r="AB2691" s="25"/>
      <c r="AC2691" s="25"/>
      <c r="AD2691" s="25"/>
      <c r="AE2691" s="25"/>
      <c r="AF2691" s="25"/>
      <c r="AG2691" s="25"/>
    </row>
    <row r="2692" spans="1:33" s="5" customFormat="1" ht="15" customHeight="1">
      <c r="A2692" s="4">
        <v>42828</v>
      </c>
      <c r="B2692" s="5" t="s">
        <v>83</v>
      </c>
      <c r="C2692" s="5" t="s">
        <v>46</v>
      </c>
      <c r="D2692" s="5">
        <v>21500</v>
      </c>
      <c r="E2692" s="9">
        <v>40</v>
      </c>
      <c r="F2692" s="5" t="s">
        <v>8</v>
      </c>
      <c r="G2692" s="5">
        <v>345</v>
      </c>
      <c r="H2692" s="5">
        <v>345</v>
      </c>
      <c r="I2692" s="5">
        <v>0</v>
      </c>
      <c r="J2692" s="5">
        <v>0</v>
      </c>
      <c r="K2692" s="1">
        <f t="shared" si="3687"/>
        <v>0</v>
      </c>
      <c r="L2692" s="51">
        <v>0</v>
      </c>
      <c r="M2692" s="52">
        <f t="shared" si="3689"/>
        <v>0</v>
      </c>
      <c r="N2692" s="2">
        <f t="shared" si="3673"/>
        <v>0</v>
      </c>
      <c r="O2692" s="2">
        <f t="shared" si="3681"/>
        <v>0</v>
      </c>
      <c r="P2692" s="25"/>
      <c r="Q2692" s="25"/>
      <c r="R2692" s="25"/>
      <c r="S2692" s="25"/>
      <c r="T2692" s="25"/>
      <c r="U2692" s="25"/>
      <c r="V2692" s="25"/>
      <c r="W2692" s="25"/>
      <c r="X2692" s="25"/>
      <c r="Y2692" s="25"/>
      <c r="Z2692" s="25"/>
      <c r="AA2692" s="25"/>
      <c r="AB2692" s="25"/>
      <c r="AC2692" s="25"/>
      <c r="AD2692" s="25"/>
      <c r="AE2692" s="25"/>
      <c r="AF2692" s="25"/>
      <c r="AG2692" s="25"/>
    </row>
    <row r="2693" spans="1:33" s="5" customFormat="1" ht="15" customHeight="1">
      <c r="A2693" s="4">
        <v>42828</v>
      </c>
      <c r="B2693" s="5" t="s">
        <v>28</v>
      </c>
      <c r="C2693" s="5" t="s">
        <v>46</v>
      </c>
      <c r="D2693" s="5">
        <v>340</v>
      </c>
      <c r="E2693" s="9">
        <v>1700</v>
      </c>
      <c r="F2693" s="5" t="s">
        <v>8</v>
      </c>
      <c r="G2693" s="5">
        <v>12</v>
      </c>
      <c r="H2693" s="5">
        <v>10.4</v>
      </c>
      <c r="I2693" s="5">
        <v>0</v>
      </c>
      <c r="J2693" s="5">
        <v>0</v>
      </c>
      <c r="K2693" s="1">
        <f t="shared" si="3687"/>
        <v>-2719.9999999999995</v>
      </c>
      <c r="L2693" s="51">
        <v>0</v>
      </c>
      <c r="M2693" s="52">
        <f t="shared" si="3689"/>
        <v>0</v>
      </c>
      <c r="N2693" s="2">
        <f t="shared" si="3673"/>
        <v>-1.5999999999999996</v>
      </c>
      <c r="O2693" s="2">
        <f t="shared" si="3681"/>
        <v>-2719.9999999999995</v>
      </c>
      <c r="P2693" s="25"/>
      <c r="Q2693" s="25"/>
      <c r="R2693" s="25"/>
      <c r="S2693" s="25"/>
      <c r="T2693" s="25"/>
      <c r="U2693" s="25"/>
      <c r="V2693" s="25"/>
      <c r="W2693" s="25"/>
      <c r="X2693" s="25"/>
      <c r="Y2693" s="25"/>
      <c r="Z2693" s="25"/>
      <c r="AA2693" s="25"/>
      <c r="AB2693" s="25"/>
      <c r="AC2693" s="25"/>
      <c r="AD2693" s="25"/>
      <c r="AE2693" s="25"/>
      <c r="AF2693" s="25"/>
      <c r="AG2693" s="25"/>
    </row>
    <row r="2694" spans="1:33" s="5" customFormat="1" ht="15" customHeight="1">
      <c r="A2694" s="4">
        <v>42828</v>
      </c>
      <c r="B2694" s="5" t="s">
        <v>88</v>
      </c>
      <c r="C2694" s="5" t="s">
        <v>47</v>
      </c>
      <c r="D2694" s="5">
        <v>225</v>
      </c>
      <c r="E2694" s="9">
        <v>4000</v>
      </c>
      <c r="F2694" s="5" t="s">
        <v>8</v>
      </c>
      <c r="G2694" s="5">
        <v>6.7</v>
      </c>
      <c r="H2694" s="5">
        <v>7.4</v>
      </c>
      <c r="I2694" s="5">
        <v>0</v>
      </c>
      <c r="J2694" s="5">
        <v>0</v>
      </c>
      <c r="K2694" s="1">
        <f t="shared" si="3687"/>
        <v>2800.0000000000009</v>
      </c>
      <c r="L2694" s="51">
        <v>0</v>
      </c>
      <c r="M2694" s="52">
        <f t="shared" si="3689"/>
        <v>0</v>
      </c>
      <c r="N2694" s="2">
        <f t="shared" si="3673"/>
        <v>0.70000000000000018</v>
      </c>
      <c r="O2694" s="2">
        <f t="shared" si="3681"/>
        <v>2800.0000000000009</v>
      </c>
      <c r="P2694" s="25"/>
      <c r="Q2694" s="25"/>
      <c r="R2694" s="25"/>
      <c r="S2694" s="25"/>
      <c r="T2694" s="25"/>
      <c r="U2694" s="25"/>
      <c r="V2694" s="25"/>
      <c r="W2694" s="25"/>
      <c r="X2694" s="25"/>
      <c r="Y2694" s="25"/>
      <c r="Z2694" s="25"/>
      <c r="AA2694" s="25"/>
      <c r="AB2694" s="25"/>
      <c r="AC2694" s="25"/>
      <c r="AD2694" s="25"/>
      <c r="AE2694" s="25"/>
      <c r="AF2694" s="25"/>
      <c r="AG2694" s="25"/>
    </row>
    <row r="2695" spans="1:33" s="5" customFormat="1" ht="15" customHeight="1">
      <c r="A2695" s="4">
        <v>42825</v>
      </c>
      <c r="B2695" s="5" t="s">
        <v>72</v>
      </c>
      <c r="C2695" s="5" t="s">
        <v>47</v>
      </c>
      <c r="D2695" s="5">
        <v>660</v>
      </c>
      <c r="E2695" s="9">
        <v>1200</v>
      </c>
      <c r="F2695" s="5" t="s">
        <v>8</v>
      </c>
      <c r="G2695" s="5">
        <v>17.5</v>
      </c>
      <c r="H2695" s="5">
        <v>20</v>
      </c>
      <c r="I2695" s="5">
        <v>0</v>
      </c>
      <c r="J2695" s="5">
        <v>0</v>
      </c>
      <c r="K2695" s="1">
        <f t="shared" si="3687"/>
        <v>3000</v>
      </c>
      <c r="L2695" s="51">
        <v>0</v>
      </c>
      <c r="M2695" s="52">
        <f t="shared" si="3689"/>
        <v>0</v>
      </c>
      <c r="N2695" s="2">
        <f t="shared" si="3673"/>
        <v>2.5</v>
      </c>
      <c r="O2695" s="2">
        <f t="shared" si="3681"/>
        <v>3000</v>
      </c>
      <c r="P2695" s="25"/>
      <c r="Q2695" s="25"/>
      <c r="R2695" s="25"/>
      <c r="S2695" s="25"/>
      <c r="T2695" s="25"/>
      <c r="U2695" s="25"/>
      <c r="V2695" s="25"/>
      <c r="W2695" s="25"/>
      <c r="X2695" s="25"/>
      <c r="Y2695" s="25"/>
      <c r="Z2695" s="25"/>
      <c r="AA2695" s="25"/>
      <c r="AB2695" s="25"/>
      <c r="AC2695" s="25"/>
      <c r="AD2695" s="25"/>
      <c r="AE2695" s="25"/>
      <c r="AF2695" s="25"/>
      <c r="AG2695" s="25"/>
    </row>
    <row r="2696" spans="1:33" s="5" customFormat="1" ht="15" customHeight="1">
      <c r="A2696" s="4">
        <v>42825</v>
      </c>
      <c r="B2696" s="5" t="s">
        <v>83</v>
      </c>
      <c r="C2696" s="5" t="s">
        <v>47</v>
      </c>
      <c r="D2696" s="5">
        <v>21500</v>
      </c>
      <c r="E2696" s="9">
        <v>40</v>
      </c>
      <c r="F2696" s="5" t="s">
        <v>8</v>
      </c>
      <c r="G2696" s="5">
        <v>365</v>
      </c>
      <c r="H2696" s="5">
        <v>380</v>
      </c>
      <c r="I2696" s="5">
        <v>0</v>
      </c>
      <c r="J2696" s="5">
        <v>0</v>
      </c>
      <c r="K2696" s="1">
        <f t="shared" si="3687"/>
        <v>600</v>
      </c>
      <c r="L2696" s="51">
        <v>0</v>
      </c>
      <c r="M2696" s="52">
        <f t="shared" si="3689"/>
        <v>0</v>
      </c>
      <c r="N2696" s="2">
        <f t="shared" si="3673"/>
        <v>15</v>
      </c>
      <c r="O2696" s="2">
        <f t="shared" si="3681"/>
        <v>600</v>
      </c>
      <c r="P2696" s="25"/>
      <c r="Q2696" s="25"/>
      <c r="R2696" s="25"/>
      <c r="S2696" s="25"/>
      <c r="T2696" s="25"/>
      <c r="U2696" s="25"/>
      <c r="V2696" s="25"/>
      <c r="W2696" s="25"/>
      <c r="X2696" s="25"/>
      <c r="Y2696" s="25"/>
      <c r="Z2696" s="25"/>
      <c r="AA2696" s="25"/>
      <c r="AB2696" s="25"/>
      <c r="AC2696" s="25"/>
      <c r="AD2696" s="25"/>
      <c r="AE2696" s="25"/>
      <c r="AF2696" s="25"/>
      <c r="AG2696" s="25"/>
    </row>
    <row r="2697" spans="1:33" s="5" customFormat="1" ht="15" customHeight="1">
      <c r="A2697" s="4">
        <v>42825</v>
      </c>
      <c r="B2697" s="5" t="s">
        <v>87</v>
      </c>
      <c r="C2697" s="5" t="s">
        <v>47</v>
      </c>
      <c r="D2697" s="5">
        <v>300</v>
      </c>
      <c r="E2697" s="9">
        <v>3500</v>
      </c>
      <c r="F2697" s="5" t="s">
        <v>8</v>
      </c>
      <c r="G2697" s="5">
        <v>11</v>
      </c>
      <c r="H2697" s="5">
        <v>11.3</v>
      </c>
      <c r="I2697" s="5">
        <v>11.7</v>
      </c>
      <c r="J2697" s="5">
        <v>0</v>
      </c>
      <c r="K2697" s="1">
        <f t="shared" si="3687"/>
        <v>1050.0000000000025</v>
      </c>
      <c r="L2697" s="51">
        <f t="shared" si="3688"/>
        <v>1399.999999999995</v>
      </c>
      <c r="M2697" s="52">
        <v>0</v>
      </c>
      <c r="N2697" s="2">
        <f t="shared" si="3673"/>
        <v>0.69999999999999918</v>
      </c>
      <c r="O2697" s="2">
        <f t="shared" si="3681"/>
        <v>2449.9999999999973</v>
      </c>
      <c r="P2697" s="25"/>
      <c r="Q2697" s="25"/>
      <c r="R2697" s="25"/>
      <c r="S2697" s="25"/>
      <c r="T2697" s="25"/>
      <c r="U2697" s="25"/>
      <c r="V2697" s="25"/>
      <c r="W2697" s="25"/>
      <c r="X2697" s="25"/>
      <c r="Y2697" s="25"/>
      <c r="Z2697" s="25"/>
      <c r="AA2697" s="25"/>
      <c r="AB2697" s="25"/>
      <c r="AC2697" s="25"/>
      <c r="AD2697" s="25"/>
      <c r="AE2697" s="25"/>
      <c r="AF2697" s="25"/>
      <c r="AG2697" s="25"/>
    </row>
    <row r="2698" spans="1:33" s="5" customFormat="1" ht="15" customHeight="1">
      <c r="A2698" s="4">
        <v>42825</v>
      </c>
      <c r="B2698" s="5" t="s">
        <v>60</v>
      </c>
      <c r="C2698" s="5" t="s">
        <v>47</v>
      </c>
      <c r="D2698" s="5">
        <v>270</v>
      </c>
      <c r="E2698" s="9">
        <v>3500</v>
      </c>
      <c r="F2698" s="5" t="s">
        <v>8</v>
      </c>
      <c r="G2698" s="5">
        <v>6.5</v>
      </c>
      <c r="H2698" s="5">
        <v>5</v>
      </c>
      <c r="I2698" s="5">
        <v>0</v>
      </c>
      <c r="J2698" s="5">
        <v>0</v>
      </c>
      <c r="K2698" s="1">
        <f t="shared" ref="K2698:K2761" si="3690">(IF(F2698="SELL",G2698-H2698,IF(F2698="BUY",H2698-G2698)))*E2698</f>
        <v>-5250</v>
      </c>
      <c r="L2698" s="51">
        <v>0</v>
      </c>
      <c r="M2698" s="52">
        <f>(IF(F2698="SELL",IF(J2698="",0,I2698-J2698),IF(F2698="BUY",IF(J2698="",0,(J2698-I2698)))))*E2698</f>
        <v>0</v>
      </c>
      <c r="N2698" s="2">
        <f t="shared" si="3673"/>
        <v>-1.5</v>
      </c>
      <c r="O2698" s="2">
        <f t="shared" si="3681"/>
        <v>-5250</v>
      </c>
      <c r="P2698" s="25"/>
      <c r="Q2698" s="25"/>
      <c r="R2698" s="25"/>
      <c r="S2698" s="25"/>
      <c r="T2698" s="25"/>
      <c r="U2698" s="25"/>
      <c r="V2698" s="25"/>
      <c r="W2698" s="25"/>
      <c r="X2698" s="25"/>
      <c r="Y2698" s="25"/>
      <c r="Z2698" s="25"/>
      <c r="AA2698" s="25"/>
      <c r="AB2698" s="25"/>
      <c r="AC2698" s="25"/>
      <c r="AD2698" s="25"/>
      <c r="AE2698" s="25"/>
      <c r="AF2698" s="25"/>
      <c r="AG2698" s="25"/>
    </row>
    <row r="2699" spans="1:33" s="5" customFormat="1" ht="15" customHeight="1">
      <c r="A2699" s="4">
        <v>42824</v>
      </c>
      <c r="B2699" s="5" t="s">
        <v>61</v>
      </c>
      <c r="C2699" s="5" t="s">
        <v>47</v>
      </c>
      <c r="D2699" s="5">
        <v>150</v>
      </c>
      <c r="E2699" s="9">
        <v>4000</v>
      </c>
      <c r="F2699" s="5" t="s">
        <v>8</v>
      </c>
      <c r="G2699" s="5">
        <v>7</v>
      </c>
      <c r="H2699" s="5">
        <v>7.3</v>
      </c>
      <c r="I2699" s="5">
        <v>0</v>
      </c>
      <c r="J2699" s="5">
        <v>0</v>
      </c>
      <c r="K2699" s="1">
        <f t="shared" si="3690"/>
        <v>1199.9999999999993</v>
      </c>
      <c r="L2699" s="51">
        <v>0</v>
      </c>
      <c r="M2699" s="52">
        <f>(IF(F2699="SELL",IF(J2699="",0,I2699-J2699),IF(F2699="BUY",IF(J2699="",0,(J2699-I2699)))))*E2699</f>
        <v>0</v>
      </c>
      <c r="N2699" s="2">
        <f t="shared" si="3673"/>
        <v>0.29999999999999982</v>
      </c>
      <c r="O2699" s="2">
        <f t="shared" si="3681"/>
        <v>1199.9999999999993</v>
      </c>
      <c r="P2699" s="25"/>
      <c r="Q2699" s="25"/>
      <c r="R2699" s="25"/>
      <c r="S2699" s="25"/>
      <c r="T2699" s="25"/>
      <c r="U2699" s="25"/>
      <c r="V2699" s="25"/>
      <c r="W2699" s="25"/>
      <c r="X2699" s="25"/>
      <c r="Y2699" s="25"/>
      <c r="Z2699" s="25"/>
      <c r="AA2699" s="25"/>
      <c r="AB2699" s="25"/>
      <c r="AC2699" s="25"/>
      <c r="AD2699" s="25"/>
      <c r="AE2699" s="25"/>
      <c r="AF2699" s="25"/>
      <c r="AG2699" s="25"/>
    </row>
    <row r="2700" spans="1:33" s="5" customFormat="1" ht="15" customHeight="1">
      <c r="A2700" s="4">
        <v>42824</v>
      </c>
      <c r="B2700" s="5" t="s">
        <v>62</v>
      </c>
      <c r="C2700" s="5" t="s">
        <v>47</v>
      </c>
      <c r="D2700" s="5">
        <v>140</v>
      </c>
      <c r="E2700" s="9">
        <v>6000</v>
      </c>
      <c r="F2700" s="5" t="s">
        <v>8</v>
      </c>
      <c r="G2700" s="5">
        <v>3</v>
      </c>
      <c r="H2700" s="5">
        <v>3.2</v>
      </c>
      <c r="I2700" s="5">
        <v>3.5</v>
      </c>
      <c r="J2700" s="5">
        <v>4.2</v>
      </c>
      <c r="K2700" s="1">
        <f t="shared" si="3690"/>
        <v>1200.0000000000011</v>
      </c>
      <c r="L2700" s="51">
        <f t="shared" ref="L2700:L2752" si="3691">(IF(F2700="SELL",IF(I2700="",0,H2700-I2700),IF(F2700="BUY",IF(I2700="",0,I2700-H2700))))*E2700</f>
        <v>1799.9999999999989</v>
      </c>
      <c r="M2700" s="52">
        <f>(IF(F2700="SELL",IF(J2700="",0,I2700-J2700),IF(F2700="BUY",IF(J2700="",0,(J2700-I2700)))))*E2700</f>
        <v>4200.0000000000009</v>
      </c>
      <c r="N2700" s="2">
        <f t="shared" ref="N2700:N2763" si="3692">(L2700+K2700+M2700)/E2700</f>
        <v>1.2000000000000002</v>
      </c>
      <c r="O2700" s="2">
        <f t="shared" si="3681"/>
        <v>7200.0000000000009</v>
      </c>
      <c r="P2700" s="25"/>
      <c r="Q2700" s="25"/>
      <c r="R2700" s="25"/>
      <c r="S2700" s="25"/>
      <c r="T2700" s="25"/>
      <c r="U2700" s="25"/>
      <c r="V2700" s="25"/>
      <c r="W2700" s="25"/>
      <c r="X2700" s="25"/>
      <c r="Y2700" s="25"/>
      <c r="Z2700" s="25"/>
      <c r="AA2700" s="25"/>
      <c r="AB2700" s="25"/>
      <c r="AC2700" s="25"/>
      <c r="AD2700" s="25"/>
      <c r="AE2700" s="25"/>
      <c r="AF2700" s="25"/>
      <c r="AG2700" s="25"/>
    </row>
    <row r="2701" spans="1:33" s="5" customFormat="1" ht="15" customHeight="1">
      <c r="A2701" s="4">
        <v>42824</v>
      </c>
      <c r="B2701" s="5" t="s">
        <v>56</v>
      </c>
      <c r="C2701" s="5" t="s">
        <v>47</v>
      </c>
      <c r="D2701" s="5">
        <v>21300</v>
      </c>
      <c r="E2701" s="9">
        <v>40</v>
      </c>
      <c r="F2701" s="5" t="s">
        <v>8</v>
      </c>
      <c r="G2701" s="5">
        <v>170</v>
      </c>
      <c r="H2701" s="5">
        <v>185</v>
      </c>
      <c r="I2701" s="5">
        <v>210</v>
      </c>
      <c r="J2701" s="5">
        <v>270</v>
      </c>
      <c r="K2701" s="1">
        <f t="shared" si="3690"/>
        <v>600</v>
      </c>
      <c r="L2701" s="51">
        <f t="shared" si="3691"/>
        <v>1000</v>
      </c>
      <c r="M2701" s="52">
        <f>(IF(F2701="SELL",IF(J2701="",0,I2701-J2701),IF(F2701="BUY",IF(J2701="",0,(J2701-I2701)))))*E2701</f>
        <v>2400</v>
      </c>
      <c r="N2701" s="2">
        <f t="shared" si="3692"/>
        <v>100</v>
      </c>
      <c r="O2701" s="2">
        <f t="shared" si="3681"/>
        <v>4000</v>
      </c>
      <c r="P2701" s="25"/>
      <c r="Q2701" s="25"/>
      <c r="R2701" s="25"/>
      <c r="S2701" s="25"/>
      <c r="T2701" s="25"/>
      <c r="U2701" s="25"/>
      <c r="V2701" s="25"/>
      <c r="W2701" s="25"/>
      <c r="X2701" s="25"/>
      <c r="Y2701" s="25"/>
      <c r="Z2701" s="25"/>
      <c r="AA2701" s="25"/>
      <c r="AB2701" s="25"/>
      <c r="AC2701" s="25"/>
      <c r="AD2701" s="25"/>
      <c r="AE2701" s="25"/>
      <c r="AF2701" s="25"/>
      <c r="AG2701" s="25"/>
    </row>
    <row r="2702" spans="1:33" s="5" customFormat="1" ht="15" customHeight="1">
      <c r="A2702" s="4">
        <v>42824</v>
      </c>
      <c r="B2702" s="5" t="s">
        <v>16</v>
      </c>
      <c r="C2702" s="5" t="s">
        <v>47</v>
      </c>
      <c r="D2702" s="5">
        <v>320</v>
      </c>
      <c r="E2702" s="9">
        <v>2500</v>
      </c>
      <c r="F2702" s="5" t="s">
        <v>8</v>
      </c>
      <c r="G2702" s="5">
        <v>9</v>
      </c>
      <c r="H2702" s="5">
        <v>9.4</v>
      </c>
      <c r="I2702" s="5">
        <v>9.9</v>
      </c>
      <c r="J2702" s="5">
        <v>12</v>
      </c>
      <c r="K2702" s="1">
        <f t="shared" si="3690"/>
        <v>1000.0000000000009</v>
      </c>
      <c r="L2702" s="51">
        <f t="shared" si="3691"/>
        <v>1250</v>
      </c>
      <c r="M2702" s="52">
        <f>(IF(F2702="SELL",IF(J2702="",0,I2702-J2702),IF(F2702="BUY",IF(J2702="",0,(J2702-I2702)))))*E2702</f>
        <v>5249.9999999999991</v>
      </c>
      <c r="N2702" s="2">
        <f t="shared" si="3692"/>
        <v>3</v>
      </c>
      <c r="O2702" s="2">
        <f t="shared" si="3681"/>
        <v>7500</v>
      </c>
      <c r="P2702" s="25"/>
      <c r="Q2702" s="25"/>
      <c r="R2702" s="25"/>
      <c r="S2702" s="25"/>
      <c r="T2702" s="25"/>
      <c r="U2702" s="25"/>
      <c r="V2702" s="25"/>
      <c r="W2702" s="25"/>
      <c r="X2702" s="25"/>
      <c r="Y2702" s="25"/>
      <c r="Z2702" s="25"/>
      <c r="AA2702" s="25"/>
      <c r="AB2702" s="25"/>
      <c r="AC2702" s="25"/>
      <c r="AD2702" s="25"/>
      <c r="AE2702" s="25"/>
      <c r="AF2702" s="25"/>
      <c r="AG2702" s="25"/>
    </row>
    <row r="2703" spans="1:33" s="5" customFormat="1" ht="15" customHeight="1">
      <c r="A2703" s="4">
        <v>42824</v>
      </c>
      <c r="B2703" s="5" t="s">
        <v>54</v>
      </c>
      <c r="C2703" s="5" t="s">
        <v>47</v>
      </c>
      <c r="D2703" s="5">
        <v>780</v>
      </c>
      <c r="E2703" s="9">
        <v>2000</v>
      </c>
      <c r="F2703" s="5" t="s">
        <v>8</v>
      </c>
      <c r="G2703" s="5">
        <v>16</v>
      </c>
      <c r="H2703" s="5">
        <v>16.5</v>
      </c>
      <c r="I2703" s="5">
        <v>17.2</v>
      </c>
      <c r="J2703" s="5">
        <v>0</v>
      </c>
      <c r="K2703" s="1">
        <f t="shared" si="3690"/>
        <v>1000</v>
      </c>
      <c r="L2703" s="51">
        <f t="shared" si="3691"/>
        <v>1399.9999999999986</v>
      </c>
      <c r="M2703" s="52">
        <v>0</v>
      </c>
      <c r="N2703" s="2">
        <f t="shared" si="3692"/>
        <v>1.1999999999999993</v>
      </c>
      <c r="O2703" s="2">
        <f t="shared" si="3681"/>
        <v>2399.9999999999986</v>
      </c>
      <c r="P2703" s="25"/>
      <c r="Q2703" s="25"/>
      <c r="R2703" s="25"/>
      <c r="S2703" s="25"/>
      <c r="T2703" s="25"/>
      <c r="U2703" s="25"/>
      <c r="V2703" s="25"/>
      <c r="W2703" s="25"/>
      <c r="X2703" s="25"/>
      <c r="Y2703" s="25"/>
      <c r="Z2703" s="25"/>
      <c r="AA2703" s="25"/>
      <c r="AB2703" s="25"/>
      <c r="AC2703" s="25"/>
      <c r="AD2703" s="25"/>
      <c r="AE2703" s="25"/>
      <c r="AF2703" s="25"/>
      <c r="AG2703" s="25"/>
    </row>
    <row r="2704" spans="1:33" s="5" customFormat="1" ht="15" customHeight="1">
      <c r="A2704" s="4">
        <v>42823</v>
      </c>
      <c r="B2704" s="5" t="s">
        <v>55</v>
      </c>
      <c r="C2704" s="5" t="s">
        <v>47</v>
      </c>
      <c r="D2704" s="5">
        <v>170</v>
      </c>
      <c r="E2704" s="9">
        <v>3500</v>
      </c>
      <c r="F2704" s="5" t="s">
        <v>8</v>
      </c>
      <c r="G2704" s="5">
        <v>4.8</v>
      </c>
      <c r="H2704" s="5">
        <v>5.0999999999999996</v>
      </c>
      <c r="I2704" s="5">
        <v>5.5</v>
      </c>
      <c r="J2704" s="5">
        <v>6.5</v>
      </c>
      <c r="K2704" s="1">
        <f t="shared" si="3690"/>
        <v>1049.9999999999993</v>
      </c>
      <c r="L2704" s="51">
        <f t="shared" si="3691"/>
        <v>1400.0000000000011</v>
      </c>
      <c r="M2704" s="52">
        <f>(IF(F2704="SELL",IF(J2704="",0,I2704-J2704),IF(F2704="BUY",IF(J2704="",0,(J2704-I2704)))))*E2704</f>
        <v>3500</v>
      </c>
      <c r="N2704" s="2">
        <f t="shared" si="3692"/>
        <v>1.7</v>
      </c>
      <c r="O2704" s="2">
        <f t="shared" si="3681"/>
        <v>5950</v>
      </c>
      <c r="P2704" s="25"/>
      <c r="Q2704" s="25"/>
      <c r="R2704" s="25"/>
      <c r="S2704" s="25"/>
      <c r="T2704" s="25"/>
      <c r="U2704" s="25"/>
      <c r="V2704" s="25"/>
      <c r="W2704" s="25"/>
      <c r="X2704" s="25"/>
      <c r="Y2704" s="25"/>
      <c r="Z2704" s="25"/>
      <c r="AA2704" s="25"/>
      <c r="AB2704" s="25"/>
      <c r="AC2704" s="25"/>
      <c r="AD2704" s="25"/>
      <c r="AE2704" s="25"/>
      <c r="AF2704" s="25"/>
      <c r="AG2704" s="25"/>
    </row>
    <row r="2705" spans="1:33" s="5" customFormat="1" ht="15" customHeight="1">
      <c r="A2705" s="4">
        <v>42823</v>
      </c>
      <c r="B2705" s="5" t="s">
        <v>56</v>
      </c>
      <c r="C2705" s="5" t="s">
        <v>47</v>
      </c>
      <c r="D2705" s="5">
        <v>21200</v>
      </c>
      <c r="E2705" s="9">
        <v>40</v>
      </c>
      <c r="F2705" s="5" t="s">
        <v>8</v>
      </c>
      <c r="G2705" s="5">
        <v>120</v>
      </c>
      <c r="H2705" s="5">
        <v>140</v>
      </c>
      <c r="I2705" s="5">
        <v>170</v>
      </c>
      <c r="J2705" s="5">
        <v>0</v>
      </c>
      <c r="K2705" s="1">
        <f t="shared" si="3690"/>
        <v>800</v>
      </c>
      <c r="L2705" s="51">
        <f t="shared" si="3691"/>
        <v>1200</v>
      </c>
      <c r="M2705" s="52">
        <v>0</v>
      </c>
      <c r="N2705" s="2">
        <f t="shared" si="3692"/>
        <v>50</v>
      </c>
      <c r="O2705" s="2">
        <f t="shared" si="3681"/>
        <v>2000</v>
      </c>
      <c r="P2705" s="25"/>
      <c r="Q2705" s="25"/>
      <c r="R2705" s="25"/>
      <c r="S2705" s="25"/>
      <c r="T2705" s="25"/>
      <c r="U2705" s="25"/>
      <c r="V2705" s="25"/>
      <c r="W2705" s="25"/>
      <c r="X2705" s="25"/>
      <c r="Y2705" s="25"/>
      <c r="Z2705" s="25"/>
      <c r="AA2705" s="25"/>
      <c r="AB2705" s="25"/>
      <c r="AC2705" s="25"/>
      <c r="AD2705" s="25"/>
      <c r="AE2705" s="25"/>
      <c r="AF2705" s="25"/>
      <c r="AG2705" s="25"/>
    </row>
    <row r="2706" spans="1:33" s="5" customFormat="1" ht="15" customHeight="1">
      <c r="A2706" s="4">
        <v>42823</v>
      </c>
      <c r="B2706" s="5" t="s">
        <v>57</v>
      </c>
      <c r="C2706" s="5" t="s">
        <v>47</v>
      </c>
      <c r="D2706" s="5">
        <v>135</v>
      </c>
      <c r="E2706" s="9">
        <v>6000</v>
      </c>
      <c r="F2706" s="5" t="s">
        <v>8</v>
      </c>
      <c r="G2706" s="5">
        <v>2.6</v>
      </c>
      <c r="H2706" s="5">
        <v>2.8</v>
      </c>
      <c r="I2706" s="5">
        <v>0</v>
      </c>
      <c r="J2706" s="5">
        <v>0</v>
      </c>
      <c r="K2706" s="1">
        <f t="shared" si="3690"/>
        <v>1199.9999999999984</v>
      </c>
      <c r="L2706" s="51">
        <v>0</v>
      </c>
      <c r="M2706" s="52">
        <f>(IF(F2706="SELL",IF(J2706="",0,I2706-J2706),IF(F2706="BUY",IF(J2706="",0,(J2706-I2706)))))*E2706</f>
        <v>0</v>
      </c>
      <c r="N2706" s="2">
        <f t="shared" si="3692"/>
        <v>0.19999999999999973</v>
      </c>
      <c r="O2706" s="2">
        <f t="shared" si="3681"/>
        <v>1199.9999999999984</v>
      </c>
      <c r="P2706" s="25"/>
      <c r="Q2706" s="25"/>
      <c r="R2706" s="25"/>
      <c r="S2706" s="25"/>
      <c r="T2706" s="25"/>
      <c r="U2706" s="25"/>
      <c r="V2706" s="25"/>
      <c r="W2706" s="25"/>
      <c r="X2706" s="25"/>
      <c r="Y2706" s="25"/>
      <c r="Z2706" s="25"/>
      <c r="AA2706" s="25"/>
      <c r="AB2706" s="25"/>
      <c r="AC2706" s="25"/>
      <c r="AD2706" s="25"/>
      <c r="AE2706" s="25"/>
      <c r="AF2706" s="25"/>
      <c r="AG2706" s="25"/>
    </row>
    <row r="2707" spans="1:33" s="5" customFormat="1" ht="15" customHeight="1">
      <c r="A2707" s="4">
        <v>42823</v>
      </c>
      <c r="B2707" s="5" t="s">
        <v>58</v>
      </c>
      <c r="C2707" s="5" t="s">
        <v>47</v>
      </c>
      <c r="D2707" s="5">
        <v>400</v>
      </c>
      <c r="E2707" s="9">
        <v>2000</v>
      </c>
      <c r="F2707" s="5" t="s">
        <v>8</v>
      </c>
      <c r="G2707" s="5">
        <v>6</v>
      </c>
      <c r="H2707" s="5">
        <v>6.5</v>
      </c>
      <c r="I2707" s="5">
        <v>7.2</v>
      </c>
      <c r="J2707" s="5">
        <v>9</v>
      </c>
      <c r="K2707" s="1">
        <f t="shared" si="3690"/>
        <v>1000</v>
      </c>
      <c r="L2707" s="51">
        <f t="shared" si="3691"/>
        <v>1400.0000000000005</v>
      </c>
      <c r="M2707" s="52">
        <f>(IF(F2707="SELL",IF(J2707="",0,I2707-J2707),IF(F2707="BUY",IF(J2707="",0,(J2707-I2707)))))*E2707</f>
        <v>3599.9999999999995</v>
      </c>
      <c r="N2707" s="2">
        <f t="shared" si="3692"/>
        <v>3</v>
      </c>
      <c r="O2707" s="2">
        <f t="shared" si="3681"/>
        <v>6000</v>
      </c>
      <c r="P2707" s="25"/>
      <c r="Q2707" s="25"/>
      <c r="R2707" s="25"/>
      <c r="S2707" s="25"/>
      <c r="T2707" s="25"/>
      <c r="U2707" s="25"/>
      <c r="V2707" s="25"/>
      <c r="W2707" s="25"/>
      <c r="X2707" s="25"/>
      <c r="Y2707" s="25"/>
      <c r="Z2707" s="25"/>
      <c r="AA2707" s="25"/>
      <c r="AB2707" s="25"/>
      <c r="AC2707" s="25"/>
      <c r="AD2707" s="25"/>
      <c r="AE2707" s="25"/>
      <c r="AF2707" s="25"/>
      <c r="AG2707" s="25"/>
    </row>
    <row r="2708" spans="1:33" s="5" customFormat="1" ht="15" customHeight="1">
      <c r="A2708" s="4">
        <v>42823</v>
      </c>
      <c r="B2708" s="5" t="s">
        <v>59</v>
      </c>
      <c r="C2708" s="5" t="s">
        <v>47</v>
      </c>
      <c r="D2708" s="5">
        <v>150</v>
      </c>
      <c r="E2708" s="9">
        <v>4000</v>
      </c>
      <c r="F2708" s="5" t="s">
        <v>8</v>
      </c>
      <c r="G2708" s="5">
        <v>6.2</v>
      </c>
      <c r="H2708" s="5">
        <v>6.5</v>
      </c>
      <c r="I2708" s="5">
        <v>6.9</v>
      </c>
      <c r="J2708" s="5">
        <v>0</v>
      </c>
      <c r="K2708" s="1">
        <f t="shared" si="3690"/>
        <v>1199.9999999999993</v>
      </c>
      <c r="L2708" s="51">
        <f t="shared" si="3691"/>
        <v>1600.0000000000014</v>
      </c>
      <c r="M2708" s="52">
        <v>0</v>
      </c>
      <c r="N2708" s="2">
        <f t="shared" si="3692"/>
        <v>0.70000000000000018</v>
      </c>
      <c r="O2708" s="2">
        <f t="shared" si="3681"/>
        <v>2800.0000000000009</v>
      </c>
      <c r="P2708" s="25"/>
      <c r="Q2708" s="25"/>
      <c r="R2708" s="25"/>
      <c r="S2708" s="25"/>
      <c r="T2708" s="25"/>
      <c r="U2708" s="25"/>
      <c r="V2708" s="25"/>
      <c r="W2708" s="25"/>
      <c r="X2708" s="25"/>
      <c r="Y2708" s="25"/>
      <c r="Z2708" s="25"/>
      <c r="AA2708" s="25"/>
      <c r="AB2708" s="25"/>
      <c r="AC2708" s="25"/>
      <c r="AD2708" s="25"/>
      <c r="AE2708" s="25"/>
      <c r="AF2708" s="25"/>
      <c r="AG2708" s="25"/>
    </row>
    <row r="2709" spans="1:33" s="5" customFormat="1" ht="15" customHeight="1">
      <c r="A2709" s="4">
        <v>42822</v>
      </c>
      <c r="B2709" s="5" t="s">
        <v>60</v>
      </c>
      <c r="C2709" s="5" t="s">
        <v>47</v>
      </c>
      <c r="D2709" s="5">
        <v>260</v>
      </c>
      <c r="E2709" s="9">
        <v>3500</v>
      </c>
      <c r="F2709" s="5" t="s">
        <v>8</v>
      </c>
      <c r="G2709" s="5">
        <v>6</v>
      </c>
      <c r="H2709" s="5">
        <v>5.8</v>
      </c>
      <c r="I2709" s="5">
        <v>6.2</v>
      </c>
      <c r="J2709" s="5">
        <v>7.2</v>
      </c>
      <c r="K2709" s="1">
        <f t="shared" si="3690"/>
        <v>-700.00000000000057</v>
      </c>
      <c r="L2709" s="51">
        <f t="shared" si="3691"/>
        <v>1400.0000000000011</v>
      </c>
      <c r="M2709" s="52">
        <f>(IF(F2709="SELL",IF(J2709="",0,I2709-J2709),IF(F2709="BUY",IF(J2709="",0,(J2709-I2709)))))*E2709</f>
        <v>3500</v>
      </c>
      <c r="N2709" s="2">
        <f t="shared" si="3692"/>
        <v>1.2000000000000002</v>
      </c>
      <c r="O2709" s="2">
        <f t="shared" si="3681"/>
        <v>4200.0000000000009</v>
      </c>
      <c r="P2709" s="25"/>
      <c r="Q2709" s="25"/>
      <c r="R2709" s="25"/>
      <c r="S2709" s="25"/>
      <c r="T2709" s="25"/>
      <c r="U2709" s="25"/>
      <c r="V2709" s="25"/>
      <c r="W2709" s="25"/>
      <c r="X2709" s="25"/>
      <c r="Y2709" s="25"/>
      <c r="Z2709" s="25"/>
      <c r="AA2709" s="25"/>
      <c r="AB2709" s="25"/>
      <c r="AC2709" s="25"/>
      <c r="AD2709" s="25"/>
      <c r="AE2709" s="25"/>
      <c r="AF2709" s="25"/>
      <c r="AG2709" s="25"/>
    </row>
    <row r="2710" spans="1:33" s="5" customFormat="1" ht="15" customHeight="1">
      <c r="A2710" s="4">
        <v>42822</v>
      </c>
      <c r="B2710" s="5" t="s">
        <v>57</v>
      </c>
      <c r="C2710" s="5" t="s">
        <v>47</v>
      </c>
      <c r="D2710" s="5">
        <v>130</v>
      </c>
      <c r="E2710" s="9">
        <v>6000</v>
      </c>
      <c r="F2710" s="5" t="s">
        <v>8</v>
      </c>
      <c r="G2710" s="5">
        <v>6.3</v>
      </c>
      <c r="H2710" s="5">
        <v>6.5</v>
      </c>
      <c r="I2710" s="5">
        <v>6.8</v>
      </c>
      <c r="J2710" s="5">
        <v>0</v>
      </c>
      <c r="K2710" s="1">
        <f t="shared" si="3690"/>
        <v>1200.0000000000011</v>
      </c>
      <c r="L2710" s="51">
        <f t="shared" si="3691"/>
        <v>1799.9999999999989</v>
      </c>
      <c r="M2710" s="52">
        <v>0</v>
      </c>
      <c r="N2710" s="2">
        <f t="shared" si="3692"/>
        <v>0.5</v>
      </c>
      <c r="O2710" s="2">
        <f t="shared" si="3681"/>
        <v>3000</v>
      </c>
      <c r="P2710" s="25"/>
      <c r="Q2710" s="25"/>
      <c r="R2710" s="25"/>
      <c r="S2710" s="25"/>
      <c r="T2710" s="25"/>
      <c r="U2710" s="25"/>
      <c r="V2710" s="25"/>
      <c r="W2710" s="25"/>
      <c r="X2710" s="25"/>
      <c r="Y2710" s="25"/>
      <c r="Z2710" s="25"/>
      <c r="AA2710" s="25"/>
      <c r="AB2710" s="25"/>
      <c r="AC2710" s="25"/>
      <c r="AD2710" s="25"/>
      <c r="AE2710" s="25"/>
      <c r="AF2710" s="25"/>
      <c r="AG2710" s="25"/>
    </row>
    <row r="2711" spans="1:33" s="5" customFormat="1" ht="15" customHeight="1">
      <c r="A2711" s="4">
        <v>42822</v>
      </c>
      <c r="B2711" s="5" t="s">
        <v>55</v>
      </c>
      <c r="C2711" s="5" t="s">
        <v>47</v>
      </c>
      <c r="D2711" s="5">
        <v>170</v>
      </c>
      <c r="E2711" s="9">
        <v>3500</v>
      </c>
      <c r="F2711" s="5" t="s">
        <v>8</v>
      </c>
      <c r="G2711" s="5">
        <v>5</v>
      </c>
      <c r="H2711" s="5">
        <v>5.3</v>
      </c>
      <c r="I2711" s="5">
        <v>0</v>
      </c>
      <c r="J2711" s="5">
        <v>0</v>
      </c>
      <c r="K2711" s="1">
        <f t="shared" si="3690"/>
        <v>1049.9999999999993</v>
      </c>
      <c r="L2711" s="51">
        <v>0</v>
      </c>
      <c r="M2711" s="52">
        <f>(IF(F2711="SELL",IF(J2711="",0,I2711-J2711),IF(F2711="BUY",IF(J2711="",0,(J2711-I2711)))))*E2711</f>
        <v>0</v>
      </c>
      <c r="N2711" s="2">
        <f t="shared" si="3692"/>
        <v>0.29999999999999982</v>
      </c>
      <c r="O2711" s="2">
        <f t="shared" si="3681"/>
        <v>1049.9999999999993</v>
      </c>
      <c r="P2711" s="25"/>
      <c r="Q2711" s="25"/>
      <c r="R2711" s="25"/>
      <c r="S2711" s="25"/>
      <c r="T2711" s="25"/>
      <c r="U2711" s="25"/>
      <c r="V2711" s="25"/>
      <c r="W2711" s="25"/>
      <c r="X2711" s="25"/>
      <c r="Y2711" s="25"/>
      <c r="Z2711" s="25"/>
      <c r="AA2711" s="25"/>
      <c r="AB2711" s="25"/>
      <c r="AC2711" s="25"/>
      <c r="AD2711" s="25"/>
      <c r="AE2711" s="25"/>
      <c r="AF2711" s="25"/>
      <c r="AG2711" s="25"/>
    </row>
    <row r="2712" spans="1:33" s="5" customFormat="1" ht="15" customHeight="1">
      <c r="A2712" s="4">
        <v>42822</v>
      </c>
      <c r="B2712" s="5" t="s">
        <v>20</v>
      </c>
      <c r="C2712" s="5" t="s">
        <v>47</v>
      </c>
      <c r="D2712" s="5">
        <v>1040</v>
      </c>
      <c r="E2712" s="9">
        <v>500</v>
      </c>
      <c r="F2712" s="5" t="s">
        <v>8</v>
      </c>
      <c r="G2712" s="5">
        <v>11</v>
      </c>
      <c r="H2712" s="5">
        <v>6</v>
      </c>
      <c r="I2712" s="5">
        <v>0</v>
      </c>
      <c r="J2712" s="5">
        <v>0</v>
      </c>
      <c r="K2712" s="1">
        <f t="shared" si="3690"/>
        <v>-2500</v>
      </c>
      <c r="L2712" s="51">
        <v>0</v>
      </c>
      <c r="M2712" s="52">
        <f>(IF(F2712="SELL",IF(J2712="",0,I2712-J2712),IF(F2712="BUY",IF(J2712="",0,(J2712-I2712)))))*E2712</f>
        <v>0</v>
      </c>
      <c r="N2712" s="2">
        <f t="shared" si="3692"/>
        <v>-5</v>
      </c>
      <c r="O2712" s="2">
        <f t="shared" si="3681"/>
        <v>-2500</v>
      </c>
      <c r="P2712" s="25"/>
      <c r="Q2712" s="25"/>
      <c r="R2712" s="25"/>
      <c r="S2712" s="25"/>
      <c r="T2712" s="25"/>
      <c r="U2712" s="25"/>
      <c r="V2712" s="25"/>
      <c r="W2712" s="25"/>
      <c r="X2712" s="25"/>
      <c r="Y2712" s="25"/>
      <c r="Z2712" s="25"/>
      <c r="AA2712" s="25"/>
      <c r="AB2712" s="25"/>
      <c r="AC2712" s="25"/>
      <c r="AD2712" s="25"/>
      <c r="AE2712" s="25"/>
      <c r="AF2712" s="25"/>
      <c r="AG2712" s="25"/>
    </row>
    <row r="2713" spans="1:33" s="5" customFormat="1" ht="15" customHeight="1">
      <c r="A2713" s="4">
        <v>42821</v>
      </c>
      <c r="B2713" s="5" t="s">
        <v>60</v>
      </c>
      <c r="C2713" s="5" t="s">
        <v>46</v>
      </c>
      <c r="D2713" s="5">
        <v>260</v>
      </c>
      <c r="E2713" s="9">
        <v>3500</v>
      </c>
      <c r="F2713" s="5" t="s">
        <v>8</v>
      </c>
      <c r="G2713" s="5">
        <v>2.5</v>
      </c>
      <c r="H2713" s="5">
        <v>2.9</v>
      </c>
      <c r="I2713" s="5">
        <v>3.5</v>
      </c>
      <c r="J2713" s="5">
        <v>0</v>
      </c>
      <c r="K2713" s="1">
        <f t="shared" si="3690"/>
        <v>1399.9999999999998</v>
      </c>
      <c r="L2713" s="51">
        <f t="shared" si="3691"/>
        <v>2100.0000000000005</v>
      </c>
      <c r="M2713" s="52">
        <v>0</v>
      </c>
      <c r="N2713" s="2">
        <f t="shared" si="3692"/>
        <v>1</v>
      </c>
      <c r="O2713" s="2">
        <f t="shared" si="3681"/>
        <v>3500</v>
      </c>
      <c r="P2713" s="25"/>
      <c r="Q2713" s="25"/>
      <c r="R2713" s="25"/>
      <c r="S2713" s="25"/>
      <c r="T2713" s="25"/>
      <c r="U2713" s="25"/>
      <c r="V2713" s="25"/>
      <c r="W2713" s="25"/>
      <c r="X2713" s="25"/>
      <c r="Y2713" s="25"/>
      <c r="Z2713" s="25"/>
      <c r="AA2713" s="25"/>
      <c r="AB2713" s="25"/>
      <c r="AC2713" s="25"/>
      <c r="AD2713" s="25"/>
      <c r="AE2713" s="25"/>
      <c r="AF2713" s="25"/>
      <c r="AG2713" s="25"/>
    </row>
    <row r="2714" spans="1:33" s="5" customFormat="1" ht="15" customHeight="1">
      <c r="A2714" s="4">
        <v>42821</v>
      </c>
      <c r="B2714" s="5" t="s">
        <v>14</v>
      </c>
      <c r="C2714" s="5" t="s">
        <v>46</v>
      </c>
      <c r="D2714" s="5">
        <v>390</v>
      </c>
      <c r="E2714" s="9">
        <v>2000</v>
      </c>
      <c r="F2714" s="5" t="s">
        <v>8</v>
      </c>
      <c r="G2714" s="5">
        <v>5.3</v>
      </c>
      <c r="H2714" s="5">
        <v>5.8</v>
      </c>
      <c r="I2714" s="5">
        <v>6.5</v>
      </c>
      <c r="J2714" s="5">
        <v>0</v>
      </c>
      <c r="K2714" s="1">
        <f t="shared" si="3690"/>
        <v>1000</v>
      </c>
      <c r="L2714" s="51">
        <f t="shared" si="3691"/>
        <v>1400.0000000000005</v>
      </c>
      <c r="M2714" s="52">
        <v>0</v>
      </c>
      <c r="N2714" s="2">
        <f t="shared" si="3692"/>
        <v>1.2000000000000002</v>
      </c>
      <c r="O2714" s="2">
        <f t="shared" si="3681"/>
        <v>2400.0000000000005</v>
      </c>
      <c r="P2714" s="25"/>
      <c r="Q2714" s="25"/>
      <c r="R2714" s="25"/>
      <c r="S2714" s="25"/>
      <c r="T2714" s="25"/>
      <c r="U2714" s="25"/>
      <c r="V2714" s="25"/>
      <c r="W2714" s="25"/>
      <c r="X2714" s="25"/>
      <c r="Y2714" s="25"/>
      <c r="Z2714" s="25"/>
      <c r="AA2714" s="25"/>
      <c r="AB2714" s="25"/>
      <c r="AC2714" s="25"/>
      <c r="AD2714" s="25"/>
      <c r="AE2714" s="25"/>
      <c r="AF2714" s="25"/>
      <c r="AG2714" s="25"/>
    </row>
    <row r="2715" spans="1:33" s="5" customFormat="1" ht="15" customHeight="1">
      <c r="A2715" s="4">
        <v>42821</v>
      </c>
      <c r="B2715" s="5" t="s">
        <v>81</v>
      </c>
      <c r="C2715" s="5" t="s">
        <v>47</v>
      </c>
      <c r="D2715" s="5">
        <v>140</v>
      </c>
      <c r="E2715" s="9">
        <v>6000</v>
      </c>
      <c r="F2715" s="5" t="s">
        <v>8</v>
      </c>
      <c r="G2715" s="5">
        <v>2.0499999999999998</v>
      </c>
      <c r="H2715" s="5">
        <v>2.4</v>
      </c>
      <c r="I2715" s="5">
        <v>2.8</v>
      </c>
      <c r="J2715" s="5">
        <v>0</v>
      </c>
      <c r="K2715" s="1">
        <f t="shared" si="3690"/>
        <v>2100.0000000000005</v>
      </c>
      <c r="L2715" s="51">
        <f t="shared" si="3691"/>
        <v>2399.9999999999995</v>
      </c>
      <c r="M2715" s="52">
        <v>0</v>
      </c>
      <c r="N2715" s="2">
        <f t="shared" si="3692"/>
        <v>0.75</v>
      </c>
      <c r="O2715" s="2">
        <f t="shared" si="3681"/>
        <v>4500</v>
      </c>
      <c r="P2715" s="25"/>
      <c r="Q2715" s="25"/>
      <c r="R2715" s="25"/>
      <c r="S2715" s="25"/>
      <c r="T2715" s="25"/>
      <c r="U2715" s="25"/>
      <c r="V2715" s="25"/>
      <c r="W2715" s="25"/>
      <c r="X2715" s="25"/>
      <c r="Y2715" s="25"/>
      <c r="Z2715" s="25"/>
      <c r="AA2715" s="25"/>
      <c r="AB2715" s="25"/>
      <c r="AC2715" s="25"/>
      <c r="AD2715" s="25"/>
      <c r="AE2715" s="25"/>
      <c r="AF2715" s="25"/>
      <c r="AG2715" s="25"/>
    </row>
    <row r="2716" spans="1:33" s="5" customFormat="1" ht="15" customHeight="1">
      <c r="A2716" s="4">
        <v>42818</v>
      </c>
      <c r="B2716" s="5" t="s">
        <v>19</v>
      </c>
      <c r="C2716" s="5" t="s">
        <v>47</v>
      </c>
      <c r="D2716" s="5">
        <v>1100</v>
      </c>
      <c r="E2716" s="9">
        <v>600</v>
      </c>
      <c r="F2716" s="5" t="s">
        <v>8</v>
      </c>
      <c r="G2716" s="5">
        <v>3.7</v>
      </c>
      <c r="H2716" s="5">
        <v>3.7</v>
      </c>
      <c r="I2716" s="5">
        <v>0</v>
      </c>
      <c r="J2716" s="5">
        <v>0</v>
      </c>
      <c r="K2716" s="1">
        <f t="shared" si="3690"/>
        <v>0</v>
      </c>
      <c r="L2716" s="51">
        <v>0</v>
      </c>
      <c r="M2716" s="52">
        <f t="shared" ref="M2716:M2721" si="3693">(IF(F2716="SELL",IF(J2716="",0,I2716-J2716),IF(F2716="BUY",IF(J2716="",0,(J2716-I2716)))))*E2716</f>
        <v>0</v>
      </c>
      <c r="N2716" s="2">
        <f t="shared" si="3692"/>
        <v>0</v>
      </c>
      <c r="O2716" s="2">
        <f t="shared" si="3681"/>
        <v>0</v>
      </c>
      <c r="P2716" s="25"/>
      <c r="Q2716" s="25"/>
      <c r="R2716" s="25"/>
      <c r="S2716" s="25"/>
      <c r="T2716" s="25"/>
      <c r="U2716" s="25"/>
      <c r="V2716" s="25"/>
      <c r="W2716" s="25"/>
      <c r="X2716" s="25"/>
      <c r="Y2716" s="25"/>
      <c r="Z2716" s="25"/>
      <c r="AA2716" s="25"/>
      <c r="AB2716" s="25"/>
      <c r="AC2716" s="25"/>
      <c r="AD2716" s="25"/>
      <c r="AE2716" s="25"/>
      <c r="AF2716" s="25"/>
      <c r="AG2716" s="25"/>
    </row>
    <row r="2717" spans="1:33" s="5" customFormat="1" ht="15" customHeight="1">
      <c r="A2717" s="4">
        <v>42818</v>
      </c>
      <c r="B2717" s="5" t="s">
        <v>61</v>
      </c>
      <c r="C2717" s="5" t="s">
        <v>47</v>
      </c>
      <c r="D2717" s="5">
        <v>150</v>
      </c>
      <c r="E2717" s="9">
        <v>4000</v>
      </c>
      <c r="F2717" s="5" t="s">
        <v>8</v>
      </c>
      <c r="G2717" s="5">
        <v>3.9</v>
      </c>
      <c r="H2717" s="5">
        <v>4.2</v>
      </c>
      <c r="I2717" s="5">
        <v>4.5999999999999996</v>
      </c>
      <c r="J2717" s="5">
        <v>5.4</v>
      </c>
      <c r="K2717" s="1">
        <f t="shared" si="3690"/>
        <v>1200.0000000000011</v>
      </c>
      <c r="L2717" s="51">
        <f t="shared" si="3691"/>
        <v>1599.999999999998</v>
      </c>
      <c r="M2717" s="52">
        <f t="shared" si="3693"/>
        <v>3200.0000000000027</v>
      </c>
      <c r="N2717" s="2">
        <f t="shared" si="3692"/>
        <v>1.5000000000000004</v>
      </c>
      <c r="O2717" s="2">
        <f t="shared" si="3681"/>
        <v>6000.0000000000018</v>
      </c>
      <c r="P2717" s="25"/>
      <c r="Q2717" s="25"/>
      <c r="R2717" s="25"/>
      <c r="S2717" s="25"/>
      <c r="T2717" s="25"/>
      <c r="U2717" s="25"/>
      <c r="V2717" s="25"/>
      <c r="W2717" s="25"/>
      <c r="X2717" s="25"/>
      <c r="Y2717" s="25"/>
      <c r="Z2717" s="25"/>
      <c r="AA2717" s="25"/>
      <c r="AB2717" s="25"/>
      <c r="AC2717" s="25"/>
      <c r="AD2717" s="25"/>
      <c r="AE2717" s="25"/>
      <c r="AF2717" s="25"/>
      <c r="AG2717" s="25"/>
    </row>
    <row r="2718" spans="1:33" s="5" customFormat="1" ht="15" customHeight="1">
      <c r="A2718" s="4">
        <v>42818</v>
      </c>
      <c r="B2718" s="5" t="s">
        <v>17</v>
      </c>
      <c r="C2718" s="5" t="s">
        <v>46</v>
      </c>
      <c r="D2718" s="5">
        <v>490</v>
      </c>
      <c r="E2718" s="9">
        <v>1200</v>
      </c>
      <c r="F2718" s="5" t="s">
        <v>8</v>
      </c>
      <c r="G2718" s="5">
        <v>12</v>
      </c>
      <c r="H2718" s="5">
        <v>9.1999999999999993</v>
      </c>
      <c r="I2718" s="5">
        <v>0</v>
      </c>
      <c r="J2718" s="5">
        <v>0</v>
      </c>
      <c r="K2718" s="1">
        <f t="shared" si="3690"/>
        <v>-3360.0000000000009</v>
      </c>
      <c r="L2718" s="51">
        <v>0</v>
      </c>
      <c r="M2718" s="52">
        <f t="shared" si="3693"/>
        <v>0</v>
      </c>
      <c r="N2718" s="2">
        <f t="shared" si="3692"/>
        <v>-2.8000000000000007</v>
      </c>
      <c r="O2718" s="2">
        <f t="shared" si="3681"/>
        <v>-3360.0000000000009</v>
      </c>
      <c r="P2718" s="25"/>
      <c r="Q2718" s="25"/>
      <c r="R2718" s="25"/>
      <c r="S2718" s="25"/>
      <c r="T2718" s="25"/>
      <c r="U2718" s="25"/>
      <c r="V2718" s="25"/>
      <c r="W2718" s="25"/>
      <c r="X2718" s="25"/>
      <c r="Y2718" s="25"/>
      <c r="Z2718" s="25"/>
      <c r="AA2718" s="25"/>
      <c r="AB2718" s="25"/>
      <c r="AC2718" s="25"/>
      <c r="AD2718" s="25"/>
      <c r="AE2718" s="25"/>
      <c r="AF2718" s="25"/>
      <c r="AG2718" s="25"/>
    </row>
    <row r="2719" spans="1:33" s="5" customFormat="1" ht="15" customHeight="1">
      <c r="A2719" s="4">
        <v>42817</v>
      </c>
      <c r="B2719" s="5" t="s">
        <v>76</v>
      </c>
      <c r="C2719" s="5" t="s">
        <v>46</v>
      </c>
      <c r="D2719" s="5">
        <v>9200</v>
      </c>
      <c r="E2719" s="9">
        <v>75</v>
      </c>
      <c r="F2719" s="5" t="s">
        <v>8</v>
      </c>
      <c r="G2719" s="5">
        <v>140</v>
      </c>
      <c r="H2719" s="5">
        <v>140</v>
      </c>
      <c r="I2719" s="5">
        <v>0</v>
      </c>
      <c r="J2719" s="5">
        <v>0</v>
      </c>
      <c r="K2719" s="1">
        <f t="shared" si="3690"/>
        <v>0</v>
      </c>
      <c r="L2719" s="51">
        <v>0</v>
      </c>
      <c r="M2719" s="52">
        <f t="shared" si="3693"/>
        <v>0</v>
      </c>
      <c r="N2719" s="2">
        <f t="shared" si="3692"/>
        <v>0</v>
      </c>
      <c r="O2719" s="2">
        <f t="shared" si="3681"/>
        <v>0</v>
      </c>
      <c r="P2719" s="25"/>
      <c r="Q2719" s="25"/>
      <c r="R2719" s="25"/>
      <c r="S2719" s="25"/>
      <c r="T2719" s="25"/>
      <c r="U2719" s="25"/>
      <c r="V2719" s="25"/>
      <c r="W2719" s="25"/>
      <c r="X2719" s="25"/>
      <c r="Y2719" s="25"/>
      <c r="Z2719" s="25"/>
      <c r="AA2719" s="25"/>
      <c r="AB2719" s="25"/>
      <c r="AC2719" s="25"/>
      <c r="AD2719" s="25"/>
      <c r="AE2719" s="25"/>
      <c r="AF2719" s="25"/>
      <c r="AG2719" s="25"/>
    </row>
    <row r="2720" spans="1:33" s="5" customFormat="1" ht="15" customHeight="1">
      <c r="A2720" s="4">
        <v>42817</v>
      </c>
      <c r="B2720" s="5" t="s">
        <v>56</v>
      </c>
      <c r="C2720" s="5" t="s">
        <v>46</v>
      </c>
      <c r="D2720" s="5">
        <v>20900</v>
      </c>
      <c r="E2720" s="9">
        <v>40</v>
      </c>
      <c r="F2720" s="5" t="s">
        <v>8</v>
      </c>
      <c r="G2720" s="5">
        <v>170</v>
      </c>
      <c r="H2720" s="5">
        <v>185</v>
      </c>
      <c r="I2720" s="5">
        <v>0</v>
      </c>
      <c r="J2720" s="5">
        <v>0</v>
      </c>
      <c r="K2720" s="1">
        <f t="shared" si="3690"/>
        <v>600</v>
      </c>
      <c r="L2720" s="51">
        <v>0</v>
      </c>
      <c r="M2720" s="52">
        <f t="shared" si="3693"/>
        <v>0</v>
      </c>
      <c r="N2720" s="2">
        <f t="shared" si="3692"/>
        <v>15</v>
      </c>
      <c r="O2720" s="2">
        <f t="shared" ref="O2720:O2783" si="3694">N2720*E2720</f>
        <v>600</v>
      </c>
      <c r="P2720" s="25"/>
      <c r="Q2720" s="25"/>
      <c r="R2720" s="25"/>
      <c r="S2720" s="25"/>
      <c r="T2720" s="25"/>
      <c r="U2720" s="25"/>
      <c r="V2720" s="25"/>
      <c r="W2720" s="25"/>
      <c r="X2720" s="25"/>
      <c r="Y2720" s="25"/>
      <c r="Z2720" s="25"/>
      <c r="AA2720" s="25"/>
      <c r="AB2720" s="25"/>
      <c r="AC2720" s="25"/>
      <c r="AD2720" s="25"/>
      <c r="AE2720" s="25"/>
      <c r="AF2720" s="25"/>
      <c r="AG2720" s="25"/>
    </row>
    <row r="2721" spans="1:33" s="5" customFormat="1" ht="15" customHeight="1">
      <c r="A2721" s="4">
        <v>42817</v>
      </c>
      <c r="B2721" s="5" t="s">
        <v>62</v>
      </c>
      <c r="C2721" s="5" t="s">
        <v>46</v>
      </c>
      <c r="D2721" s="5">
        <v>140</v>
      </c>
      <c r="E2721" s="9">
        <v>6000</v>
      </c>
      <c r="F2721" s="5" t="s">
        <v>8</v>
      </c>
      <c r="G2721" s="5">
        <v>4.0999999999999996</v>
      </c>
      <c r="H2721" s="5">
        <v>4.5</v>
      </c>
      <c r="I2721" s="5">
        <v>0</v>
      </c>
      <c r="J2721" s="5">
        <v>0</v>
      </c>
      <c r="K2721" s="1">
        <f t="shared" si="3690"/>
        <v>2400.0000000000023</v>
      </c>
      <c r="L2721" s="51">
        <v>0</v>
      </c>
      <c r="M2721" s="52">
        <f t="shared" si="3693"/>
        <v>0</v>
      </c>
      <c r="N2721" s="2">
        <f t="shared" si="3692"/>
        <v>0.40000000000000036</v>
      </c>
      <c r="O2721" s="2">
        <f t="shared" si="3694"/>
        <v>2400.0000000000023</v>
      </c>
      <c r="P2721" s="25"/>
      <c r="Q2721" s="25"/>
      <c r="R2721" s="25"/>
      <c r="S2721" s="25"/>
      <c r="T2721" s="25"/>
      <c r="U2721" s="25"/>
      <c r="V2721" s="25"/>
      <c r="W2721" s="25"/>
      <c r="X2721" s="25"/>
      <c r="Y2721" s="25"/>
      <c r="Z2721" s="25"/>
      <c r="AA2721" s="25"/>
      <c r="AB2721" s="25"/>
      <c r="AC2721" s="25"/>
      <c r="AD2721" s="25"/>
      <c r="AE2721" s="25"/>
      <c r="AF2721" s="25"/>
      <c r="AG2721" s="25"/>
    </row>
    <row r="2722" spans="1:33" s="5" customFormat="1" ht="15" customHeight="1">
      <c r="A2722" s="4">
        <v>42817</v>
      </c>
      <c r="B2722" s="5" t="s">
        <v>15</v>
      </c>
      <c r="C2722" s="5" t="s">
        <v>46</v>
      </c>
      <c r="D2722" s="5">
        <v>430</v>
      </c>
      <c r="E2722" s="9">
        <v>2000</v>
      </c>
      <c r="F2722" s="5" t="s">
        <v>8</v>
      </c>
      <c r="G2722" s="5">
        <v>8</v>
      </c>
      <c r="H2722" s="5">
        <v>8.5</v>
      </c>
      <c r="I2722" s="5">
        <v>9.1999999999999993</v>
      </c>
      <c r="J2722" s="5">
        <v>0</v>
      </c>
      <c r="K2722" s="1">
        <f t="shared" si="3690"/>
        <v>1000</v>
      </c>
      <c r="L2722" s="51">
        <f t="shared" si="3691"/>
        <v>1399.9999999999986</v>
      </c>
      <c r="M2722" s="52">
        <v>0</v>
      </c>
      <c r="N2722" s="2">
        <f t="shared" si="3692"/>
        <v>1.1999999999999993</v>
      </c>
      <c r="O2722" s="2">
        <f t="shared" si="3694"/>
        <v>2399.9999999999986</v>
      </c>
      <c r="P2722" s="25"/>
      <c r="Q2722" s="25"/>
      <c r="R2722" s="25"/>
      <c r="S2722" s="25"/>
      <c r="T2722" s="25"/>
      <c r="U2722" s="25"/>
      <c r="V2722" s="25"/>
      <c r="W2722" s="25"/>
      <c r="X2722" s="25"/>
      <c r="Y2722" s="25"/>
      <c r="Z2722" s="25"/>
      <c r="AA2722" s="25"/>
      <c r="AB2722" s="25"/>
      <c r="AC2722" s="25"/>
      <c r="AD2722" s="25"/>
      <c r="AE2722" s="25"/>
      <c r="AF2722" s="25"/>
      <c r="AG2722" s="25"/>
    </row>
    <row r="2723" spans="1:33" s="5" customFormat="1" ht="15" customHeight="1">
      <c r="A2723" s="4">
        <v>42817</v>
      </c>
      <c r="B2723" s="5" t="s">
        <v>80</v>
      </c>
      <c r="C2723" s="5" t="s">
        <v>46</v>
      </c>
      <c r="D2723" s="5">
        <v>220</v>
      </c>
      <c r="E2723" s="9">
        <v>3000</v>
      </c>
      <c r="F2723" s="5" t="s">
        <v>8</v>
      </c>
      <c r="G2723" s="5">
        <v>3.7</v>
      </c>
      <c r="H2723" s="5">
        <v>4</v>
      </c>
      <c r="I2723" s="5">
        <v>4.4000000000000004</v>
      </c>
      <c r="J2723" s="5">
        <v>5</v>
      </c>
      <c r="K2723" s="1">
        <f t="shared" si="3690"/>
        <v>899.99999999999943</v>
      </c>
      <c r="L2723" s="51">
        <f t="shared" si="3691"/>
        <v>1200.0000000000011</v>
      </c>
      <c r="M2723" s="52">
        <f t="shared" ref="M2723:M2729" si="3695">(IF(F2723="SELL",IF(J2723="",0,I2723-J2723),IF(F2723="BUY",IF(J2723="",0,(J2723-I2723)))))*E2723</f>
        <v>1799.9999999999989</v>
      </c>
      <c r="N2723" s="2">
        <f t="shared" si="3692"/>
        <v>1.2999999999999996</v>
      </c>
      <c r="O2723" s="2">
        <f t="shared" si="3694"/>
        <v>3899.9999999999986</v>
      </c>
      <c r="P2723" s="25"/>
      <c r="Q2723" s="25"/>
      <c r="R2723" s="25"/>
      <c r="S2723" s="25"/>
      <c r="T2723" s="25"/>
      <c r="U2723" s="25"/>
      <c r="V2723" s="25"/>
      <c r="W2723" s="25"/>
      <c r="X2723" s="25"/>
      <c r="Y2723" s="25"/>
      <c r="Z2723" s="25"/>
      <c r="AA2723" s="25"/>
      <c r="AB2723" s="25"/>
      <c r="AC2723" s="25"/>
      <c r="AD2723" s="25"/>
      <c r="AE2723" s="25"/>
      <c r="AF2723" s="25"/>
      <c r="AG2723" s="25"/>
    </row>
    <row r="2724" spans="1:33" s="5" customFormat="1" ht="15" customHeight="1">
      <c r="A2724" s="4">
        <v>42815</v>
      </c>
      <c r="B2724" s="5" t="s">
        <v>26</v>
      </c>
      <c r="C2724" s="5" t="s">
        <v>46</v>
      </c>
      <c r="D2724" s="5">
        <v>550</v>
      </c>
      <c r="E2724" s="9">
        <v>2000</v>
      </c>
      <c r="F2724" s="5" t="s">
        <v>8</v>
      </c>
      <c r="G2724" s="5">
        <v>10.5</v>
      </c>
      <c r="H2724" s="5">
        <v>9</v>
      </c>
      <c r="I2724" s="5">
        <v>0</v>
      </c>
      <c r="J2724" s="5">
        <v>0</v>
      </c>
      <c r="K2724" s="1">
        <f t="shared" si="3690"/>
        <v>-3000</v>
      </c>
      <c r="L2724" s="51">
        <v>0</v>
      </c>
      <c r="M2724" s="52">
        <f t="shared" si="3695"/>
        <v>0</v>
      </c>
      <c r="N2724" s="2">
        <f t="shared" si="3692"/>
        <v>-1.5</v>
      </c>
      <c r="O2724" s="2">
        <f t="shared" si="3694"/>
        <v>-3000</v>
      </c>
      <c r="P2724" s="25"/>
      <c r="Q2724" s="25"/>
      <c r="R2724" s="25"/>
      <c r="S2724" s="25"/>
      <c r="T2724" s="25"/>
      <c r="U2724" s="25"/>
      <c r="V2724" s="25"/>
      <c r="W2724" s="25"/>
      <c r="X2724" s="25"/>
      <c r="Y2724" s="25"/>
      <c r="Z2724" s="25"/>
      <c r="AA2724" s="25"/>
      <c r="AB2724" s="25"/>
      <c r="AC2724" s="25"/>
      <c r="AD2724" s="25"/>
      <c r="AE2724" s="25"/>
      <c r="AF2724" s="25"/>
      <c r="AG2724" s="25"/>
    </row>
    <row r="2725" spans="1:33" s="5" customFormat="1" ht="15" customHeight="1">
      <c r="A2725" s="4">
        <v>42815</v>
      </c>
      <c r="B2725" s="5" t="s">
        <v>17</v>
      </c>
      <c r="C2725" s="5" t="s">
        <v>46</v>
      </c>
      <c r="D2725" s="5">
        <v>500</v>
      </c>
      <c r="E2725" s="9">
        <v>1200</v>
      </c>
      <c r="F2725" s="5" t="s">
        <v>8</v>
      </c>
      <c r="G2725" s="5">
        <v>15.5</v>
      </c>
      <c r="H2725" s="5">
        <v>16.5</v>
      </c>
      <c r="I2725" s="5">
        <v>0</v>
      </c>
      <c r="J2725" s="5">
        <v>0</v>
      </c>
      <c r="K2725" s="1">
        <f t="shared" si="3690"/>
        <v>1200</v>
      </c>
      <c r="L2725" s="51">
        <v>0</v>
      </c>
      <c r="M2725" s="52">
        <f t="shared" si="3695"/>
        <v>0</v>
      </c>
      <c r="N2725" s="2">
        <f t="shared" si="3692"/>
        <v>1</v>
      </c>
      <c r="O2725" s="2">
        <f t="shared" si="3694"/>
        <v>1200</v>
      </c>
      <c r="P2725" s="25"/>
      <c r="Q2725" s="25"/>
      <c r="R2725" s="25"/>
      <c r="S2725" s="25"/>
      <c r="T2725" s="25"/>
      <c r="U2725" s="25"/>
      <c r="V2725" s="25"/>
      <c r="W2725" s="25"/>
      <c r="X2725" s="25"/>
      <c r="Y2725" s="25"/>
      <c r="Z2725" s="25"/>
      <c r="AA2725" s="25"/>
      <c r="AB2725" s="25"/>
      <c r="AC2725" s="25"/>
      <c r="AD2725" s="25"/>
      <c r="AE2725" s="25"/>
      <c r="AF2725" s="25"/>
      <c r="AG2725" s="25"/>
    </row>
    <row r="2726" spans="1:33" s="5" customFormat="1" ht="15" customHeight="1">
      <c r="A2726" s="4">
        <v>42815</v>
      </c>
      <c r="B2726" s="5" t="s">
        <v>56</v>
      </c>
      <c r="C2726" s="5" t="s">
        <v>47</v>
      </c>
      <c r="D2726" s="5">
        <v>21100</v>
      </c>
      <c r="E2726" s="9">
        <v>40</v>
      </c>
      <c r="F2726" s="5" t="s">
        <v>8</v>
      </c>
      <c r="G2726" s="5">
        <v>225</v>
      </c>
      <c r="H2726" s="5">
        <v>190</v>
      </c>
      <c r="I2726" s="5">
        <v>0</v>
      </c>
      <c r="J2726" s="5">
        <v>0</v>
      </c>
      <c r="K2726" s="1">
        <f t="shared" si="3690"/>
        <v>-1400</v>
      </c>
      <c r="L2726" s="51">
        <v>0</v>
      </c>
      <c r="M2726" s="52">
        <f t="shared" si="3695"/>
        <v>0</v>
      </c>
      <c r="N2726" s="2">
        <f t="shared" si="3692"/>
        <v>-35</v>
      </c>
      <c r="O2726" s="2">
        <f t="shared" si="3694"/>
        <v>-1400</v>
      </c>
      <c r="P2726" s="25"/>
      <c r="Q2726" s="25"/>
      <c r="R2726" s="25"/>
      <c r="S2726" s="25"/>
      <c r="T2726" s="25"/>
      <c r="U2726" s="25"/>
      <c r="V2726" s="25"/>
      <c r="W2726" s="25"/>
      <c r="X2726" s="25"/>
      <c r="Y2726" s="25"/>
      <c r="Z2726" s="25"/>
      <c r="AA2726" s="25"/>
      <c r="AB2726" s="25"/>
      <c r="AC2726" s="25"/>
      <c r="AD2726" s="25"/>
      <c r="AE2726" s="25"/>
      <c r="AF2726" s="25"/>
      <c r="AG2726" s="25"/>
    </row>
    <row r="2727" spans="1:33" s="5" customFormat="1" ht="15" customHeight="1">
      <c r="A2727" s="4">
        <v>42815</v>
      </c>
      <c r="B2727" s="5" t="s">
        <v>70</v>
      </c>
      <c r="C2727" s="5" t="s">
        <v>47</v>
      </c>
      <c r="D2727" s="5">
        <v>160</v>
      </c>
      <c r="E2727" s="9">
        <v>6000</v>
      </c>
      <c r="F2727" s="5" t="s">
        <v>8</v>
      </c>
      <c r="G2727" s="5">
        <v>8.1999999999999993</v>
      </c>
      <c r="H2727" s="5">
        <v>8.4</v>
      </c>
      <c r="I2727" s="5">
        <v>0</v>
      </c>
      <c r="J2727" s="5">
        <v>0</v>
      </c>
      <c r="K2727" s="1">
        <f t="shared" si="3690"/>
        <v>1200.0000000000064</v>
      </c>
      <c r="L2727" s="51">
        <v>0</v>
      </c>
      <c r="M2727" s="52">
        <f t="shared" si="3695"/>
        <v>0</v>
      </c>
      <c r="N2727" s="2">
        <f t="shared" si="3692"/>
        <v>0.20000000000000107</v>
      </c>
      <c r="O2727" s="2">
        <f t="shared" si="3694"/>
        <v>1200.0000000000064</v>
      </c>
      <c r="P2727" s="25"/>
      <c r="Q2727" s="25"/>
      <c r="R2727" s="25"/>
      <c r="S2727" s="25"/>
      <c r="T2727" s="25"/>
      <c r="U2727" s="25"/>
      <c r="V2727" s="25"/>
      <c r="W2727" s="25"/>
      <c r="X2727" s="25"/>
      <c r="Y2727" s="25"/>
      <c r="Z2727" s="25"/>
      <c r="AA2727" s="25"/>
      <c r="AB2727" s="25"/>
      <c r="AC2727" s="25"/>
      <c r="AD2727" s="25"/>
      <c r="AE2727" s="25"/>
      <c r="AF2727" s="25"/>
      <c r="AG2727" s="25"/>
    </row>
    <row r="2728" spans="1:33" s="5" customFormat="1" ht="15" customHeight="1">
      <c r="A2728" s="4">
        <v>42815</v>
      </c>
      <c r="B2728" s="5" t="s">
        <v>79</v>
      </c>
      <c r="C2728" s="5" t="s">
        <v>47</v>
      </c>
      <c r="D2728" s="5">
        <v>165</v>
      </c>
      <c r="E2728" s="9">
        <v>3500</v>
      </c>
      <c r="F2728" s="5" t="s">
        <v>8</v>
      </c>
      <c r="G2728" s="5">
        <v>4.7</v>
      </c>
      <c r="H2728" s="5">
        <v>5</v>
      </c>
      <c r="I2728" s="5">
        <v>0</v>
      </c>
      <c r="J2728" s="5">
        <v>0</v>
      </c>
      <c r="K2728" s="1">
        <f t="shared" si="3690"/>
        <v>1049.9999999999993</v>
      </c>
      <c r="L2728" s="51">
        <v>0</v>
      </c>
      <c r="M2728" s="52">
        <f t="shared" si="3695"/>
        <v>0</v>
      </c>
      <c r="N2728" s="2">
        <f t="shared" si="3692"/>
        <v>0.29999999999999982</v>
      </c>
      <c r="O2728" s="2">
        <f t="shared" si="3694"/>
        <v>1049.9999999999993</v>
      </c>
      <c r="P2728" s="25"/>
      <c r="Q2728" s="25"/>
      <c r="R2728" s="25"/>
      <c r="S2728" s="25"/>
      <c r="T2728" s="25"/>
      <c r="U2728" s="25"/>
      <c r="V2728" s="25"/>
      <c r="W2728" s="25"/>
      <c r="X2728" s="25"/>
      <c r="Y2728" s="25"/>
      <c r="Z2728" s="25"/>
      <c r="AA2728" s="25"/>
      <c r="AB2728" s="25"/>
      <c r="AC2728" s="25"/>
      <c r="AD2728" s="25"/>
      <c r="AE2728" s="25"/>
      <c r="AF2728" s="25"/>
      <c r="AG2728" s="25"/>
    </row>
    <row r="2729" spans="1:33" s="5" customFormat="1" ht="15" customHeight="1">
      <c r="A2729" s="4">
        <v>42815</v>
      </c>
      <c r="B2729" s="5" t="s">
        <v>60</v>
      </c>
      <c r="C2729" s="5" t="s">
        <v>47</v>
      </c>
      <c r="D2729" s="5">
        <v>260</v>
      </c>
      <c r="E2729" s="9">
        <v>3500</v>
      </c>
      <c r="F2729" s="5" t="s">
        <v>8</v>
      </c>
      <c r="G2729" s="5">
        <v>7.5</v>
      </c>
      <c r="H2729" s="5">
        <v>7.8</v>
      </c>
      <c r="I2729" s="5">
        <v>0</v>
      </c>
      <c r="J2729" s="5">
        <v>0</v>
      </c>
      <c r="K2729" s="1">
        <f t="shared" si="3690"/>
        <v>1049.9999999999993</v>
      </c>
      <c r="L2729" s="51">
        <v>0</v>
      </c>
      <c r="M2729" s="52">
        <f t="shared" si="3695"/>
        <v>0</v>
      </c>
      <c r="N2729" s="2">
        <f t="shared" si="3692"/>
        <v>0.29999999999999982</v>
      </c>
      <c r="O2729" s="2">
        <f t="shared" si="3694"/>
        <v>1049.9999999999993</v>
      </c>
      <c r="P2729" s="25"/>
      <c r="Q2729" s="25"/>
      <c r="R2729" s="25"/>
      <c r="S2729" s="25"/>
      <c r="T2729" s="25"/>
      <c r="U2729" s="25"/>
      <c r="V2729" s="25"/>
      <c r="W2729" s="25"/>
      <c r="X2729" s="25"/>
      <c r="Y2729" s="25"/>
      <c r="Z2729" s="25"/>
      <c r="AA2729" s="25"/>
      <c r="AB2729" s="25"/>
      <c r="AC2729" s="25"/>
      <c r="AD2729" s="25"/>
      <c r="AE2729" s="25"/>
      <c r="AF2729" s="25"/>
      <c r="AG2729" s="25"/>
    </row>
    <row r="2730" spans="1:33" s="5" customFormat="1" ht="15" customHeight="1">
      <c r="A2730" s="4">
        <v>42814</v>
      </c>
      <c r="B2730" s="5" t="s">
        <v>55</v>
      </c>
      <c r="C2730" s="5" t="s">
        <v>47</v>
      </c>
      <c r="D2730" s="5">
        <v>165</v>
      </c>
      <c r="E2730" s="9">
        <v>3500</v>
      </c>
      <c r="F2730" s="5" t="s">
        <v>8</v>
      </c>
      <c r="G2730" s="5">
        <v>3.4</v>
      </c>
      <c r="H2730" s="5">
        <v>3.7</v>
      </c>
      <c r="I2730" s="5">
        <v>4.0999999999999996</v>
      </c>
      <c r="J2730" s="5">
        <v>0</v>
      </c>
      <c r="K2730" s="1">
        <f t="shared" si="3690"/>
        <v>1050.0000000000009</v>
      </c>
      <c r="L2730" s="51">
        <f t="shared" si="3691"/>
        <v>1399.9999999999982</v>
      </c>
      <c r="M2730" s="52">
        <v>0</v>
      </c>
      <c r="N2730" s="2">
        <f t="shared" si="3692"/>
        <v>0.69999999999999973</v>
      </c>
      <c r="O2730" s="2">
        <f t="shared" si="3694"/>
        <v>2449.9999999999991</v>
      </c>
      <c r="P2730" s="25"/>
      <c r="Q2730" s="25"/>
      <c r="R2730" s="25"/>
      <c r="S2730" s="25"/>
      <c r="T2730" s="25"/>
      <c r="U2730" s="25"/>
      <c r="V2730" s="25"/>
      <c r="W2730" s="25"/>
      <c r="X2730" s="25"/>
      <c r="Y2730" s="25"/>
      <c r="Z2730" s="25"/>
      <c r="AA2730" s="25"/>
      <c r="AB2730" s="25"/>
      <c r="AC2730" s="25"/>
      <c r="AD2730" s="25"/>
      <c r="AE2730" s="25"/>
      <c r="AF2730" s="25"/>
      <c r="AG2730" s="25"/>
    </row>
    <row r="2731" spans="1:33" s="5" customFormat="1" ht="15" customHeight="1">
      <c r="A2731" s="4">
        <v>42814</v>
      </c>
      <c r="B2731" s="5" t="s">
        <v>54</v>
      </c>
      <c r="C2731" s="5" t="s">
        <v>47</v>
      </c>
      <c r="D2731" s="5">
        <v>760</v>
      </c>
      <c r="E2731" s="9">
        <v>2000</v>
      </c>
      <c r="F2731" s="5" t="s">
        <v>8</v>
      </c>
      <c r="G2731" s="5">
        <v>17</v>
      </c>
      <c r="H2731" s="5">
        <v>17.5</v>
      </c>
      <c r="I2731" s="5">
        <v>0</v>
      </c>
      <c r="J2731" s="5">
        <v>0</v>
      </c>
      <c r="K2731" s="1">
        <f t="shared" si="3690"/>
        <v>1000</v>
      </c>
      <c r="L2731" s="51">
        <v>0</v>
      </c>
      <c r="M2731" s="52">
        <f t="shared" ref="M2731:M2737" si="3696">(IF(F2731="SELL",IF(J2731="",0,I2731-J2731),IF(F2731="BUY",IF(J2731="",0,(J2731-I2731)))))*E2731</f>
        <v>0</v>
      </c>
      <c r="N2731" s="2">
        <f t="shared" si="3692"/>
        <v>0.5</v>
      </c>
      <c r="O2731" s="2">
        <f t="shared" si="3694"/>
        <v>1000</v>
      </c>
      <c r="P2731" s="25"/>
      <c r="Q2731" s="25"/>
      <c r="R2731" s="25"/>
      <c r="S2731" s="25"/>
      <c r="T2731" s="25"/>
      <c r="U2731" s="25"/>
      <c r="V2731" s="25"/>
      <c r="W2731" s="25"/>
      <c r="X2731" s="25"/>
      <c r="Y2731" s="25"/>
      <c r="Z2731" s="25"/>
      <c r="AA2731" s="25"/>
      <c r="AB2731" s="25"/>
      <c r="AC2731" s="25"/>
      <c r="AD2731" s="25"/>
      <c r="AE2731" s="25"/>
      <c r="AF2731" s="25"/>
      <c r="AG2731" s="25"/>
    </row>
    <row r="2732" spans="1:33" s="5" customFormat="1" ht="15" customHeight="1">
      <c r="A2732" s="4">
        <v>42814</v>
      </c>
      <c r="B2732" s="5" t="s">
        <v>56</v>
      </c>
      <c r="C2732" s="5" t="s">
        <v>47</v>
      </c>
      <c r="D2732" s="5">
        <v>21000</v>
      </c>
      <c r="E2732" s="9">
        <v>40</v>
      </c>
      <c r="F2732" s="5" t="s">
        <v>8</v>
      </c>
      <c r="G2732" s="5">
        <v>225</v>
      </c>
      <c r="H2732" s="5">
        <v>240</v>
      </c>
      <c r="I2732" s="5">
        <v>0</v>
      </c>
      <c r="J2732" s="5">
        <v>0</v>
      </c>
      <c r="K2732" s="1">
        <f t="shared" si="3690"/>
        <v>600</v>
      </c>
      <c r="L2732" s="51">
        <v>0</v>
      </c>
      <c r="M2732" s="52">
        <f t="shared" si="3696"/>
        <v>0</v>
      </c>
      <c r="N2732" s="2">
        <f t="shared" si="3692"/>
        <v>15</v>
      </c>
      <c r="O2732" s="2">
        <f t="shared" si="3694"/>
        <v>600</v>
      </c>
      <c r="P2732" s="25"/>
      <c r="Q2732" s="25"/>
      <c r="R2732" s="25"/>
      <c r="S2732" s="25"/>
      <c r="T2732" s="25"/>
      <c r="U2732" s="25"/>
      <c r="V2732" s="25"/>
      <c r="W2732" s="25"/>
      <c r="X2732" s="25"/>
      <c r="Y2732" s="25"/>
      <c r="Z2732" s="25"/>
      <c r="AA2732" s="25"/>
      <c r="AB2732" s="25"/>
      <c r="AC2732" s="25"/>
      <c r="AD2732" s="25"/>
      <c r="AE2732" s="25"/>
      <c r="AF2732" s="25"/>
      <c r="AG2732" s="25"/>
    </row>
    <row r="2733" spans="1:33" s="5" customFormat="1" ht="15" customHeight="1">
      <c r="A2733" s="4">
        <v>42814</v>
      </c>
      <c r="B2733" s="5" t="s">
        <v>76</v>
      </c>
      <c r="C2733" s="5" t="s">
        <v>47</v>
      </c>
      <c r="D2733" s="5">
        <v>9100</v>
      </c>
      <c r="E2733" s="9">
        <v>75</v>
      </c>
      <c r="F2733" s="5" t="s">
        <v>8</v>
      </c>
      <c r="G2733" s="5">
        <v>94</v>
      </c>
      <c r="H2733" s="5">
        <v>95</v>
      </c>
      <c r="I2733" s="5">
        <v>0</v>
      </c>
      <c r="J2733" s="5">
        <v>0</v>
      </c>
      <c r="K2733" s="1">
        <f t="shared" si="3690"/>
        <v>75</v>
      </c>
      <c r="L2733" s="51">
        <v>0</v>
      </c>
      <c r="M2733" s="52">
        <f t="shared" si="3696"/>
        <v>0</v>
      </c>
      <c r="N2733" s="2">
        <f t="shared" si="3692"/>
        <v>1</v>
      </c>
      <c r="O2733" s="2">
        <f t="shared" si="3694"/>
        <v>75</v>
      </c>
      <c r="P2733" s="25"/>
      <c r="Q2733" s="25"/>
      <c r="R2733" s="25"/>
      <c r="S2733" s="25"/>
      <c r="T2733" s="25"/>
      <c r="U2733" s="25"/>
      <c r="V2733" s="25"/>
      <c r="W2733" s="25"/>
      <c r="X2733" s="25"/>
      <c r="Y2733" s="25"/>
      <c r="Z2733" s="25"/>
      <c r="AA2733" s="25"/>
      <c r="AB2733" s="25"/>
      <c r="AC2733" s="25"/>
      <c r="AD2733" s="25"/>
      <c r="AE2733" s="25"/>
      <c r="AF2733" s="25"/>
      <c r="AG2733" s="25"/>
    </row>
    <row r="2734" spans="1:33" s="5" customFormat="1" ht="15" customHeight="1">
      <c r="A2734" s="4">
        <v>42814</v>
      </c>
      <c r="B2734" s="5" t="s">
        <v>78</v>
      </c>
      <c r="C2734" s="5" t="s">
        <v>47</v>
      </c>
      <c r="D2734" s="5">
        <v>130</v>
      </c>
      <c r="E2734" s="9">
        <v>5000</v>
      </c>
      <c r="F2734" s="5" t="s">
        <v>8</v>
      </c>
      <c r="G2734" s="5">
        <v>6.5</v>
      </c>
      <c r="H2734" s="5">
        <v>6.7</v>
      </c>
      <c r="I2734" s="5">
        <v>0</v>
      </c>
      <c r="J2734" s="5">
        <v>0</v>
      </c>
      <c r="K2734" s="1">
        <f t="shared" si="3690"/>
        <v>1000.0000000000009</v>
      </c>
      <c r="L2734" s="51">
        <v>0</v>
      </c>
      <c r="M2734" s="52">
        <f t="shared" si="3696"/>
        <v>0</v>
      </c>
      <c r="N2734" s="2">
        <f t="shared" si="3692"/>
        <v>0.20000000000000018</v>
      </c>
      <c r="O2734" s="2">
        <f t="shared" si="3694"/>
        <v>1000.0000000000009</v>
      </c>
      <c r="P2734" s="25"/>
      <c r="Q2734" s="25"/>
      <c r="R2734" s="25"/>
      <c r="S2734" s="25"/>
      <c r="T2734" s="25"/>
      <c r="U2734" s="25"/>
      <c r="V2734" s="25"/>
      <c r="W2734" s="25"/>
      <c r="X2734" s="25"/>
      <c r="Y2734" s="25"/>
      <c r="Z2734" s="25"/>
      <c r="AA2734" s="25"/>
      <c r="AB2734" s="25"/>
      <c r="AC2734" s="25"/>
      <c r="AD2734" s="25"/>
      <c r="AE2734" s="25"/>
      <c r="AF2734" s="25"/>
      <c r="AG2734" s="25"/>
    </row>
    <row r="2735" spans="1:33" s="5" customFormat="1" ht="15" customHeight="1">
      <c r="A2735" s="4">
        <v>42814</v>
      </c>
      <c r="B2735" s="5" t="s">
        <v>70</v>
      </c>
      <c r="C2735" s="5" t="s">
        <v>47</v>
      </c>
      <c r="D2735" s="5">
        <v>160</v>
      </c>
      <c r="E2735" s="9">
        <v>6000</v>
      </c>
      <c r="F2735" s="5" t="s">
        <v>8</v>
      </c>
      <c r="G2735" s="5">
        <v>7.6</v>
      </c>
      <c r="H2735" s="5">
        <v>7.8</v>
      </c>
      <c r="I2735" s="5">
        <v>8.1</v>
      </c>
      <c r="J2735" s="5">
        <v>9</v>
      </c>
      <c r="K2735" s="1">
        <f t="shared" si="3690"/>
        <v>1200.0000000000011</v>
      </c>
      <c r="L2735" s="51">
        <f t="shared" si="3691"/>
        <v>1799.9999999999989</v>
      </c>
      <c r="M2735" s="52">
        <f t="shared" si="3696"/>
        <v>5400.0000000000018</v>
      </c>
      <c r="N2735" s="2">
        <f t="shared" si="3692"/>
        <v>1.4000000000000004</v>
      </c>
      <c r="O2735" s="2">
        <f t="shared" si="3694"/>
        <v>8400.0000000000018</v>
      </c>
      <c r="P2735" s="25"/>
      <c r="Q2735" s="25"/>
      <c r="R2735" s="25"/>
      <c r="S2735" s="25"/>
      <c r="T2735" s="25"/>
      <c r="U2735" s="25"/>
      <c r="V2735" s="25"/>
      <c r="W2735" s="25"/>
      <c r="X2735" s="25"/>
      <c r="Y2735" s="25"/>
      <c r="Z2735" s="25"/>
      <c r="AA2735" s="25"/>
      <c r="AB2735" s="25"/>
      <c r="AC2735" s="25"/>
      <c r="AD2735" s="25"/>
      <c r="AE2735" s="25"/>
      <c r="AF2735" s="25"/>
      <c r="AG2735" s="25"/>
    </row>
    <row r="2736" spans="1:33" s="5" customFormat="1" ht="15" customHeight="1">
      <c r="A2736" s="4">
        <v>42814</v>
      </c>
      <c r="B2736" s="5" t="s">
        <v>77</v>
      </c>
      <c r="C2736" s="5" t="s">
        <v>46</v>
      </c>
      <c r="D2736" s="5">
        <v>370</v>
      </c>
      <c r="E2736" s="9">
        <v>2000</v>
      </c>
      <c r="F2736" s="5" t="s">
        <v>8</v>
      </c>
      <c r="G2736" s="5">
        <v>3.3</v>
      </c>
      <c r="H2736" s="5">
        <v>3.3</v>
      </c>
      <c r="I2736" s="5">
        <v>0</v>
      </c>
      <c r="J2736" s="5">
        <v>0</v>
      </c>
      <c r="K2736" s="1">
        <f t="shared" si="3690"/>
        <v>0</v>
      </c>
      <c r="L2736" s="51">
        <v>0</v>
      </c>
      <c r="M2736" s="52">
        <f t="shared" si="3696"/>
        <v>0</v>
      </c>
      <c r="N2736" s="2">
        <f t="shared" si="3692"/>
        <v>0</v>
      </c>
      <c r="O2736" s="2">
        <f t="shared" si="3694"/>
        <v>0</v>
      </c>
      <c r="P2736" s="25"/>
      <c r="Q2736" s="25"/>
      <c r="R2736" s="25"/>
      <c r="S2736" s="25"/>
      <c r="T2736" s="25"/>
      <c r="U2736" s="25"/>
      <c r="V2736" s="25"/>
      <c r="W2736" s="25"/>
      <c r="X2736" s="25"/>
      <c r="Y2736" s="25"/>
      <c r="Z2736" s="25"/>
      <c r="AA2736" s="25"/>
      <c r="AB2736" s="25"/>
      <c r="AC2736" s="25"/>
      <c r="AD2736" s="25"/>
      <c r="AE2736" s="25"/>
      <c r="AF2736" s="25"/>
      <c r="AG2736" s="25"/>
    </row>
    <row r="2737" spans="1:33" s="5" customFormat="1" ht="15" customHeight="1">
      <c r="A2737" s="4">
        <v>42811</v>
      </c>
      <c r="B2737" s="5" t="s">
        <v>76</v>
      </c>
      <c r="C2737" s="5" t="s">
        <v>46</v>
      </c>
      <c r="D2737" s="5">
        <v>9100</v>
      </c>
      <c r="E2737" s="9">
        <v>75</v>
      </c>
      <c r="F2737" s="5" t="s">
        <v>8</v>
      </c>
      <c r="G2737" s="5">
        <v>38</v>
      </c>
      <c r="H2737" s="5">
        <v>43.35</v>
      </c>
      <c r="I2737" s="5">
        <v>0</v>
      </c>
      <c r="J2737" s="5">
        <v>0</v>
      </c>
      <c r="K2737" s="1">
        <f t="shared" si="3690"/>
        <v>401.25000000000011</v>
      </c>
      <c r="L2737" s="51">
        <v>0</v>
      </c>
      <c r="M2737" s="52">
        <f t="shared" si="3696"/>
        <v>0</v>
      </c>
      <c r="N2737" s="2">
        <f t="shared" si="3692"/>
        <v>5.3500000000000014</v>
      </c>
      <c r="O2737" s="2">
        <f t="shared" si="3694"/>
        <v>401.25000000000011</v>
      </c>
      <c r="P2737" s="25"/>
      <c r="Q2737" s="25"/>
      <c r="R2737" s="25"/>
      <c r="S2737" s="25"/>
      <c r="T2737" s="25"/>
      <c r="U2737" s="25"/>
      <c r="V2737" s="25"/>
      <c r="W2737" s="25"/>
      <c r="X2737" s="25"/>
      <c r="Y2737" s="25"/>
      <c r="Z2737" s="25"/>
      <c r="AA2737" s="25"/>
      <c r="AB2737" s="25"/>
      <c r="AC2737" s="25"/>
      <c r="AD2737" s="25"/>
      <c r="AE2737" s="25"/>
      <c r="AF2737" s="25"/>
      <c r="AG2737" s="25"/>
    </row>
    <row r="2738" spans="1:33" s="5" customFormat="1" ht="15" customHeight="1">
      <c r="A2738" s="4">
        <v>42811</v>
      </c>
      <c r="B2738" s="5" t="s">
        <v>18</v>
      </c>
      <c r="C2738" s="5" t="s">
        <v>46</v>
      </c>
      <c r="D2738" s="5">
        <v>600</v>
      </c>
      <c r="E2738" s="9">
        <v>1000</v>
      </c>
      <c r="F2738" s="5" t="s">
        <v>8</v>
      </c>
      <c r="G2738" s="5">
        <v>9.5</v>
      </c>
      <c r="H2738" s="5">
        <v>11</v>
      </c>
      <c r="I2738" s="5">
        <v>12.8</v>
      </c>
      <c r="J2738" s="5">
        <v>0</v>
      </c>
      <c r="K2738" s="1">
        <f t="shared" si="3690"/>
        <v>1500</v>
      </c>
      <c r="L2738" s="51">
        <f t="shared" si="3691"/>
        <v>1800.0000000000007</v>
      </c>
      <c r="M2738" s="52">
        <v>0</v>
      </c>
      <c r="N2738" s="2">
        <f t="shared" si="3692"/>
        <v>3.3000000000000007</v>
      </c>
      <c r="O2738" s="2">
        <f t="shared" si="3694"/>
        <v>3300.0000000000009</v>
      </c>
      <c r="P2738" s="25"/>
      <c r="Q2738" s="25"/>
      <c r="R2738" s="25"/>
      <c r="S2738" s="25"/>
      <c r="T2738" s="25"/>
      <c r="U2738" s="25"/>
      <c r="V2738" s="25"/>
      <c r="W2738" s="25"/>
      <c r="X2738" s="25"/>
      <c r="Y2738" s="25"/>
      <c r="Z2738" s="25"/>
      <c r="AA2738" s="25"/>
      <c r="AB2738" s="25"/>
      <c r="AC2738" s="25"/>
      <c r="AD2738" s="25"/>
      <c r="AE2738" s="25"/>
      <c r="AF2738" s="25"/>
      <c r="AG2738" s="25"/>
    </row>
    <row r="2739" spans="1:33" s="5" customFormat="1" ht="15" customHeight="1">
      <c r="A2739" s="4">
        <v>42811</v>
      </c>
      <c r="B2739" s="5" t="s">
        <v>75</v>
      </c>
      <c r="C2739" s="5" t="s">
        <v>46</v>
      </c>
      <c r="D2739" s="5">
        <v>1200</v>
      </c>
      <c r="E2739" s="9">
        <v>400</v>
      </c>
      <c r="F2739" s="5" t="s">
        <v>8</v>
      </c>
      <c r="G2739" s="5">
        <v>12</v>
      </c>
      <c r="H2739" s="5">
        <v>14</v>
      </c>
      <c r="I2739" s="5">
        <v>16</v>
      </c>
      <c r="J2739" s="5">
        <v>0</v>
      </c>
      <c r="K2739" s="1">
        <f t="shared" si="3690"/>
        <v>800</v>
      </c>
      <c r="L2739" s="51">
        <f t="shared" si="3691"/>
        <v>800</v>
      </c>
      <c r="M2739" s="52">
        <v>0</v>
      </c>
      <c r="N2739" s="2">
        <f t="shared" si="3692"/>
        <v>4</v>
      </c>
      <c r="O2739" s="2">
        <f t="shared" si="3694"/>
        <v>1600</v>
      </c>
      <c r="P2739" s="25"/>
      <c r="Q2739" s="25"/>
      <c r="R2739" s="25"/>
      <c r="S2739" s="25"/>
      <c r="T2739" s="25"/>
      <c r="U2739" s="25"/>
      <c r="V2739" s="25"/>
      <c r="W2739" s="25"/>
      <c r="X2739" s="25"/>
      <c r="Y2739" s="25"/>
      <c r="Z2739" s="25"/>
      <c r="AA2739" s="25"/>
      <c r="AB2739" s="25"/>
      <c r="AC2739" s="25"/>
      <c r="AD2739" s="25"/>
      <c r="AE2739" s="25"/>
      <c r="AF2739" s="25"/>
      <c r="AG2739" s="25"/>
    </row>
    <row r="2740" spans="1:33" s="5" customFormat="1" ht="15" customHeight="1">
      <c r="A2740" s="4">
        <v>42811</v>
      </c>
      <c r="B2740" s="5" t="s">
        <v>66</v>
      </c>
      <c r="C2740" s="5" t="s">
        <v>47</v>
      </c>
      <c r="D2740" s="5">
        <v>500</v>
      </c>
      <c r="E2740" s="9">
        <v>1000</v>
      </c>
      <c r="F2740" s="5" t="s">
        <v>8</v>
      </c>
      <c r="G2740" s="5">
        <v>8</v>
      </c>
      <c r="H2740" s="5">
        <v>5.6</v>
      </c>
      <c r="I2740" s="5">
        <v>0</v>
      </c>
      <c r="J2740" s="5">
        <v>0</v>
      </c>
      <c r="K2740" s="1">
        <f t="shared" si="3690"/>
        <v>-2400.0000000000005</v>
      </c>
      <c r="L2740" s="51">
        <v>0</v>
      </c>
      <c r="M2740" s="52">
        <f t="shared" ref="M2740:M2751" si="3697">(IF(F2740="SELL",IF(J2740="",0,I2740-J2740),IF(F2740="BUY",IF(J2740="",0,(J2740-I2740)))))*E2740</f>
        <v>0</v>
      </c>
      <c r="N2740" s="2">
        <f t="shared" si="3692"/>
        <v>-2.4000000000000004</v>
      </c>
      <c r="O2740" s="2">
        <f t="shared" si="3694"/>
        <v>-2400.0000000000005</v>
      </c>
      <c r="P2740" s="25"/>
      <c r="Q2740" s="25"/>
      <c r="R2740" s="25"/>
      <c r="S2740" s="25"/>
      <c r="T2740" s="25"/>
      <c r="U2740" s="25"/>
      <c r="V2740" s="25"/>
      <c r="W2740" s="25"/>
      <c r="X2740" s="25"/>
      <c r="Y2740" s="25"/>
      <c r="Z2740" s="25"/>
      <c r="AA2740" s="25"/>
      <c r="AB2740" s="25"/>
      <c r="AC2740" s="25"/>
      <c r="AD2740" s="25"/>
      <c r="AE2740" s="25"/>
      <c r="AF2740" s="25"/>
      <c r="AG2740" s="25"/>
    </row>
    <row r="2741" spans="1:33" s="5" customFormat="1" ht="15" customHeight="1">
      <c r="A2741" s="4">
        <v>42811</v>
      </c>
      <c r="B2741" s="5" t="s">
        <v>65</v>
      </c>
      <c r="C2741" s="5" t="s">
        <v>47</v>
      </c>
      <c r="D2741" s="5">
        <v>610</v>
      </c>
      <c r="E2741" s="9">
        <v>1200</v>
      </c>
      <c r="F2741" s="5" t="s">
        <v>8</v>
      </c>
      <c r="G2741" s="5">
        <v>18.5</v>
      </c>
      <c r="H2741" s="5">
        <v>18.5</v>
      </c>
      <c r="I2741" s="5">
        <v>0</v>
      </c>
      <c r="J2741" s="5">
        <v>0</v>
      </c>
      <c r="K2741" s="1">
        <f t="shared" si="3690"/>
        <v>0</v>
      </c>
      <c r="L2741" s="51">
        <v>0</v>
      </c>
      <c r="M2741" s="52">
        <f t="shared" si="3697"/>
        <v>0</v>
      </c>
      <c r="N2741" s="2">
        <f t="shared" si="3692"/>
        <v>0</v>
      </c>
      <c r="O2741" s="2">
        <f t="shared" si="3694"/>
        <v>0</v>
      </c>
      <c r="P2741" s="25"/>
      <c r="Q2741" s="25"/>
      <c r="R2741" s="25"/>
      <c r="S2741" s="25"/>
      <c r="T2741" s="25"/>
      <c r="U2741" s="25"/>
      <c r="V2741" s="25"/>
      <c r="W2741" s="25"/>
      <c r="X2741" s="25"/>
      <c r="Y2741" s="25"/>
      <c r="Z2741" s="25"/>
      <c r="AA2741" s="25"/>
      <c r="AB2741" s="25"/>
      <c r="AC2741" s="25"/>
      <c r="AD2741" s="25"/>
      <c r="AE2741" s="25"/>
      <c r="AF2741" s="25"/>
      <c r="AG2741" s="25"/>
    </row>
    <row r="2742" spans="1:33" s="5" customFormat="1" ht="15" customHeight="1">
      <c r="A2742" s="4">
        <v>42810</v>
      </c>
      <c r="B2742" s="5" t="s">
        <v>72</v>
      </c>
      <c r="C2742" s="5" t="s">
        <v>46</v>
      </c>
      <c r="D2742" s="5">
        <v>640</v>
      </c>
      <c r="E2742" s="9">
        <v>1200</v>
      </c>
      <c r="F2742" s="5" t="s">
        <v>8</v>
      </c>
      <c r="G2742" s="5">
        <v>18</v>
      </c>
      <c r="H2742" s="5">
        <v>18</v>
      </c>
      <c r="I2742" s="5">
        <v>0</v>
      </c>
      <c r="J2742" s="5">
        <v>0</v>
      </c>
      <c r="K2742" s="1">
        <f t="shared" si="3690"/>
        <v>0</v>
      </c>
      <c r="L2742" s="51">
        <v>0</v>
      </c>
      <c r="M2742" s="52">
        <f t="shared" si="3697"/>
        <v>0</v>
      </c>
      <c r="N2742" s="2">
        <f t="shared" si="3692"/>
        <v>0</v>
      </c>
      <c r="O2742" s="2">
        <f t="shared" si="3694"/>
        <v>0</v>
      </c>
      <c r="P2742" s="25"/>
      <c r="Q2742" s="25"/>
      <c r="R2742" s="25"/>
      <c r="S2742" s="25"/>
      <c r="T2742" s="25"/>
      <c r="U2742" s="25"/>
      <c r="V2742" s="25"/>
      <c r="W2742" s="25"/>
      <c r="X2742" s="25"/>
      <c r="Y2742" s="25"/>
      <c r="Z2742" s="25"/>
      <c r="AA2742" s="25"/>
      <c r="AB2742" s="25"/>
      <c r="AC2742" s="25"/>
      <c r="AD2742" s="25"/>
      <c r="AE2742" s="25"/>
      <c r="AF2742" s="25"/>
      <c r="AG2742" s="25"/>
    </row>
    <row r="2743" spans="1:33" s="5" customFormat="1" ht="15" customHeight="1">
      <c r="A2743" s="4">
        <v>42809</v>
      </c>
      <c r="B2743" s="5" t="s">
        <v>54</v>
      </c>
      <c r="C2743" s="5" t="s">
        <v>46</v>
      </c>
      <c r="D2743" s="5">
        <v>740</v>
      </c>
      <c r="E2743" s="9">
        <v>2000</v>
      </c>
      <c r="F2743" s="5" t="s">
        <v>8</v>
      </c>
      <c r="G2743" s="5">
        <v>19</v>
      </c>
      <c r="H2743" s="5">
        <v>21</v>
      </c>
      <c r="I2743" s="5">
        <v>0</v>
      </c>
      <c r="J2743" s="5">
        <v>0</v>
      </c>
      <c r="K2743" s="1">
        <f t="shared" si="3690"/>
        <v>4000</v>
      </c>
      <c r="L2743" s="51">
        <v>0</v>
      </c>
      <c r="M2743" s="52">
        <f t="shared" si="3697"/>
        <v>0</v>
      </c>
      <c r="N2743" s="2">
        <f t="shared" si="3692"/>
        <v>2</v>
      </c>
      <c r="O2743" s="2">
        <f t="shared" si="3694"/>
        <v>4000</v>
      </c>
      <c r="P2743" s="25"/>
      <c r="Q2743" s="25"/>
      <c r="R2743" s="25"/>
      <c r="S2743" s="25"/>
      <c r="T2743" s="25"/>
      <c r="U2743" s="25"/>
      <c r="V2743" s="25"/>
      <c r="W2743" s="25"/>
      <c r="X2743" s="25"/>
      <c r="Y2743" s="25"/>
      <c r="Z2743" s="25"/>
      <c r="AA2743" s="25"/>
      <c r="AB2743" s="25"/>
      <c r="AC2743" s="25"/>
      <c r="AD2743" s="25"/>
      <c r="AE2743" s="25"/>
      <c r="AF2743" s="25"/>
      <c r="AG2743" s="25"/>
    </row>
    <row r="2744" spans="1:33" s="5" customFormat="1" ht="15" customHeight="1">
      <c r="A2744" s="4">
        <v>42808</v>
      </c>
      <c r="B2744" s="5" t="s">
        <v>35</v>
      </c>
      <c r="C2744" s="5" t="s">
        <v>46</v>
      </c>
      <c r="D2744" s="5">
        <v>560</v>
      </c>
      <c r="E2744" s="9">
        <v>1100</v>
      </c>
      <c r="F2744" s="5" t="s">
        <v>8</v>
      </c>
      <c r="G2744" s="5">
        <v>12</v>
      </c>
      <c r="H2744" s="5">
        <v>12</v>
      </c>
      <c r="I2744" s="5">
        <v>0</v>
      </c>
      <c r="J2744" s="5">
        <v>0</v>
      </c>
      <c r="K2744" s="1">
        <f t="shared" si="3690"/>
        <v>0</v>
      </c>
      <c r="L2744" s="51">
        <v>0</v>
      </c>
      <c r="M2744" s="52">
        <f t="shared" si="3697"/>
        <v>0</v>
      </c>
      <c r="N2744" s="2">
        <f t="shared" si="3692"/>
        <v>0</v>
      </c>
      <c r="O2744" s="2">
        <f t="shared" si="3694"/>
        <v>0</v>
      </c>
      <c r="P2744" s="25"/>
      <c r="Q2744" s="25"/>
      <c r="R2744" s="25"/>
      <c r="S2744" s="25"/>
      <c r="T2744" s="25"/>
      <c r="U2744" s="25"/>
      <c r="V2744" s="25"/>
      <c r="W2744" s="25"/>
      <c r="X2744" s="25"/>
      <c r="Y2744" s="25"/>
      <c r="Z2744" s="25"/>
      <c r="AA2744" s="25"/>
      <c r="AB2744" s="25"/>
      <c r="AC2744" s="25"/>
      <c r="AD2744" s="25"/>
      <c r="AE2744" s="25"/>
      <c r="AF2744" s="25"/>
      <c r="AG2744" s="25"/>
    </row>
    <row r="2745" spans="1:33" s="5" customFormat="1" ht="15" customHeight="1">
      <c r="A2745" s="4">
        <v>42804</v>
      </c>
      <c r="B2745" s="5" t="s">
        <v>23</v>
      </c>
      <c r="C2745" s="5" t="s">
        <v>47</v>
      </c>
      <c r="D2745" s="5">
        <v>580</v>
      </c>
      <c r="E2745" s="9">
        <v>1300</v>
      </c>
      <c r="F2745" s="5" t="s">
        <v>8</v>
      </c>
      <c r="G2745" s="5">
        <v>23</v>
      </c>
      <c r="H2745" s="5">
        <v>23</v>
      </c>
      <c r="I2745" s="5">
        <v>0</v>
      </c>
      <c r="J2745" s="5">
        <v>0</v>
      </c>
      <c r="K2745" s="1">
        <f t="shared" si="3690"/>
        <v>0</v>
      </c>
      <c r="L2745" s="51">
        <v>0</v>
      </c>
      <c r="M2745" s="52">
        <f t="shared" si="3697"/>
        <v>0</v>
      </c>
      <c r="N2745" s="2">
        <f t="shared" si="3692"/>
        <v>0</v>
      </c>
      <c r="O2745" s="2">
        <f t="shared" si="3694"/>
        <v>0</v>
      </c>
      <c r="P2745" s="25"/>
      <c r="Q2745" s="25"/>
      <c r="R2745" s="25"/>
      <c r="S2745" s="25"/>
      <c r="T2745" s="25"/>
      <c r="U2745" s="25"/>
      <c r="V2745" s="25"/>
      <c r="W2745" s="25"/>
      <c r="X2745" s="25"/>
      <c r="Y2745" s="25"/>
      <c r="Z2745" s="25"/>
      <c r="AA2745" s="25"/>
      <c r="AB2745" s="25"/>
      <c r="AC2745" s="25"/>
      <c r="AD2745" s="25"/>
      <c r="AE2745" s="25"/>
      <c r="AF2745" s="25"/>
      <c r="AG2745" s="25"/>
    </row>
    <row r="2746" spans="1:33" s="5" customFormat="1" ht="15" customHeight="1">
      <c r="A2746" s="4">
        <v>42803</v>
      </c>
      <c r="B2746" s="5" t="s">
        <v>35</v>
      </c>
      <c r="C2746" s="5" t="s">
        <v>46</v>
      </c>
      <c r="D2746" s="5">
        <v>560</v>
      </c>
      <c r="E2746" s="9">
        <v>1100</v>
      </c>
      <c r="F2746" s="5" t="s">
        <v>8</v>
      </c>
      <c r="G2746" s="5">
        <v>12</v>
      </c>
      <c r="H2746" s="5">
        <v>12</v>
      </c>
      <c r="I2746" s="5">
        <v>0</v>
      </c>
      <c r="J2746" s="5">
        <v>0</v>
      </c>
      <c r="K2746" s="1">
        <f t="shared" si="3690"/>
        <v>0</v>
      </c>
      <c r="L2746" s="51">
        <v>0</v>
      </c>
      <c r="M2746" s="52">
        <f t="shared" si="3697"/>
        <v>0</v>
      </c>
      <c r="N2746" s="2">
        <f t="shared" si="3692"/>
        <v>0</v>
      </c>
      <c r="O2746" s="2">
        <f t="shared" si="3694"/>
        <v>0</v>
      </c>
      <c r="P2746" s="25"/>
      <c r="Q2746" s="25"/>
      <c r="R2746" s="25"/>
      <c r="S2746" s="25"/>
      <c r="T2746" s="25"/>
      <c r="U2746" s="25"/>
      <c r="V2746" s="25"/>
      <c r="W2746" s="25"/>
      <c r="X2746" s="25"/>
      <c r="Y2746" s="25"/>
      <c r="Z2746" s="25"/>
      <c r="AA2746" s="25"/>
      <c r="AB2746" s="25"/>
      <c r="AC2746" s="25"/>
      <c r="AD2746" s="25"/>
      <c r="AE2746" s="25"/>
      <c r="AF2746" s="25"/>
      <c r="AG2746" s="25"/>
    </row>
    <row r="2747" spans="1:33" s="5" customFormat="1" ht="15" customHeight="1">
      <c r="A2747" s="4">
        <v>42801</v>
      </c>
      <c r="B2747" s="5" t="s">
        <v>37</v>
      </c>
      <c r="C2747" s="5" t="s">
        <v>47</v>
      </c>
      <c r="D2747" s="5">
        <v>2500</v>
      </c>
      <c r="E2747" s="9">
        <v>250</v>
      </c>
      <c r="F2747" s="5" t="s">
        <v>8</v>
      </c>
      <c r="G2747" s="5">
        <v>51.7</v>
      </c>
      <c r="H2747" s="5">
        <v>53.15</v>
      </c>
      <c r="I2747" s="5">
        <v>0</v>
      </c>
      <c r="J2747" s="5">
        <v>0</v>
      </c>
      <c r="K2747" s="1">
        <f t="shared" si="3690"/>
        <v>362.49999999999892</v>
      </c>
      <c r="L2747" s="51">
        <v>0</v>
      </c>
      <c r="M2747" s="52">
        <f t="shared" si="3697"/>
        <v>0</v>
      </c>
      <c r="N2747" s="2">
        <f t="shared" si="3692"/>
        <v>1.4499999999999957</v>
      </c>
      <c r="O2747" s="2">
        <f t="shared" si="3694"/>
        <v>362.49999999999892</v>
      </c>
      <c r="P2747" s="25"/>
      <c r="Q2747" s="25"/>
      <c r="R2747" s="25"/>
      <c r="S2747" s="25"/>
      <c r="T2747" s="25"/>
      <c r="U2747" s="25"/>
      <c r="V2747" s="25"/>
      <c r="W2747" s="25"/>
      <c r="X2747" s="25"/>
      <c r="Y2747" s="25"/>
      <c r="Z2747" s="25"/>
      <c r="AA2747" s="25"/>
      <c r="AB2747" s="25"/>
      <c r="AC2747" s="25"/>
      <c r="AD2747" s="25"/>
      <c r="AE2747" s="25"/>
      <c r="AF2747" s="25"/>
      <c r="AG2747" s="25"/>
    </row>
    <row r="2748" spans="1:33" s="5" customFormat="1" ht="15" customHeight="1">
      <c r="A2748" s="4">
        <v>42801</v>
      </c>
      <c r="B2748" s="5" t="s">
        <v>24</v>
      </c>
      <c r="C2748" s="5" t="s">
        <v>47</v>
      </c>
      <c r="D2748" s="5">
        <v>460</v>
      </c>
      <c r="E2748" s="9">
        <v>2000</v>
      </c>
      <c r="F2748" s="5" t="s">
        <v>8</v>
      </c>
      <c r="G2748" s="5">
        <v>18.600000000000001</v>
      </c>
      <c r="H2748" s="5">
        <v>19.899999999999999</v>
      </c>
      <c r="I2748" s="5">
        <v>0</v>
      </c>
      <c r="J2748" s="5">
        <v>0</v>
      </c>
      <c r="K2748" s="1">
        <f t="shared" si="3690"/>
        <v>2599.9999999999945</v>
      </c>
      <c r="L2748" s="51">
        <v>0</v>
      </c>
      <c r="M2748" s="52">
        <f t="shared" si="3697"/>
        <v>0</v>
      </c>
      <c r="N2748" s="2">
        <f t="shared" si="3692"/>
        <v>1.2999999999999974</v>
      </c>
      <c r="O2748" s="2">
        <f t="shared" si="3694"/>
        <v>2599.9999999999945</v>
      </c>
      <c r="P2748" s="25"/>
      <c r="Q2748" s="25"/>
      <c r="R2748" s="25"/>
      <c r="S2748" s="25"/>
      <c r="T2748" s="25"/>
      <c r="U2748" s="25"/>
      <c r="V2748" s="25"/>
      <c r="W2748" s="25"/>
      <c r="X2748" s="25"/>
      <c r="Y2748" s="25"/>
      <c r="Z2748" s="25"/>
      <c r="AA2748" s="25"/>
      <c r="AB2748" s="25"/>
      <c r="AC2748" s="25"/>
      <c r="AD2748" s="25"/>
      <c r="AE2748" s="25"/>
      <c r="AF2748" s="25"/>
      <c r="AG2748" s="25"/>
    </row>
    <row r="2749" spans="1:33" s="5" customFormat="1" ht="15" customHeight="1">
      <c r="A2749" s="4">
        <v>42800</v>
      </c>
      <c r="B2749" s="5" t="s">
        <v>74</v>
      </c>
      <c r="C2749" s="5" t="s">
        <v>46</v>
      </c>
      <c r="D2749" s="5">
        <v>870</v>
      </c>
      <c r="E2749" s="9">
        <v>600</v>
      </c>
      <c r="F2749" s="5" t="s">
        <v>8</v>
      </c>
      <c r="G2749" s="5">
        <v>14</v>
      </c>
      <c r="H2749" s="5">
        <v>16.55</v>
      </c>
      <c r="I2749" s="5">
        <v>0</v>
      </c>
      <c r="J2749" s="5">
        <v>0</v>
      </c>
      <c r="K2749" s="1">
        <f t="shared" si="3690"/>
        <v>1530.0000000000005</v>
      </c>
      <c r="L2749" s="51">
        <v>0</v>
      </c>
      <c r="M2749" s="52">
        <f t="shared" si="3697"/>
        <v>0</v>
      </c>
      <c r="N2749" s="2">
        <f t="shared" si="3692"/>
        <v>2.5500000000000007</v>
      </c>
      <c r="O2749" s="2">
        <f t="shared" si="3694"/>
        <v>1530.0000000000005</v>
      </c>
      <c r="P2749" s="25"/>
      <c r="Q2749" s="25"/>
      <c r="R2749" s="25"/>
      <c r="S2749" s="25"/>
      <c r="T2749" s="25"/>
      <c r="U2749" s="25"/>
      <c r="V2749" s="25"/>
      <c r="W2749" s="25"/>
      <c r="X2749" s="25"/>
      <c r="Y2749" s="25"/>
      <c r="Z2749" s="25"/>
      <c r="AA2749" s="25"/>
      <c r="AB2749" s="25"/>
      <c r="AC2749" s="25"/>
      <c r="AD2749" s="25"/>
      <c r="AE2749" s="25"/>
      <c r="AF2749" s="25"/>
      <c r="AG2749" s="25"/>
    </row>
    <row r="2750" spans="1:33" s="5" customFormat="1" ht="15" customHeight="1">
      <c r="A2750" s="4">
        <v>42800</v>
      </c>
      <c r="B2750" s="5" t="s">
        <v>73</v>
      </c>
      <c r="C2750" s="5" t="s">
        <v>47</v>
      </c>
      <c r="D2750" s="5">
        <v>1500</v>
      </c>
      <c r="E2750" s="9">
        <v>500</v>
      </c>
      <c r="F2750" s="5" t="s">
        <v>8</v>
      </c>
      <c r="G2750" s="5">
        <v>28</v>
      </c>
      <c r="H2750" s="5">
        <v>29</v>
      </c>
      <c r="I2750" s="5">
        <v>0</v>
      </c>
      <c r="J2750" s="5">
        <v>0</v>
      </c>
      <c r="K2750" s="1">
        <f t="shared" si="3690"/>
        <v>500</v>
      </c>
      <c r="L2750" s="51">
        <v>0</v>
      </c>
      <c r="M2750" s="52">
        <f t="shared" si="3697"/>
        <v>0</v>
      </c>
      <c r="N2750" s="2">
        <f t="shared" si="3692"/>
        <v>1</v>
      </c>
      <c r="O2750" s="2">
        <f t="shared" si="3694"/>
        <v>500</v>
      </c>
      <c r="P2750" s="25"/>
      <c r="Q2750" s="25"/>
      <c r="R2750" s="25"/>
      <c r="S2750" s="25"/>
      <c r="T2750" s="25"/>
      <c r="U2750" s="25"/>
      <c r="V2750" s="25"/>
      <c r="W2750" s="25"/>
      <c r="X2750" s="25"/>
      <c r="Y2750" s="25"/>
      <c r="Z2750" s="25"/>
      <c r="AA2750" s="25"/>
      <c r="AB2750" s="25"/>
      <c r="AC2750" s="25"/>
      <c r="AD2750" s="25"/>
      <c r="AE2750" s="25"/>
      <c r="AF2750" s="25"/>
      <c r="AG2750" s="25"/>
    </row>
    <row r="2751" spans="1:33" s="5" customFormat="1" ht="15" customHeight="1">
      <c r="A2751" s="4">
        <v>42800</v>
      </c>
      <c r="B2751" s="5" t="s">
        <v>36</v>
      </c>
      <c r="C2751" s="5" t="s">
        <v>46</v>
      </c>
      <c r="D2751" s="5">
        <v>370</v>
      </c>
      <c r="E2751" s="9">
        <v>3000</v>
      </c>
      <c r="F2751" s="5" t="s">
        <v>8</v>
      </c>
      <c r="G2751" s="5">
        <v>10.199999999999999</v>
      </c>
      <c r="H2751" s="5">
        <v>9</v>
      </c>
      <c r="I2751" s="5">
        <v>0</v>
      </c>
      <c r="J2751" s="5">
        <v>0</v>
      </c>
      <c r="K2751" s="1">
        <f t="shared" si="3690"/>
        <v>-3599.9999999999977</v>
      </c>
      <c r="L2751" s="51">
        <v>0</v>
      </c>
      <c r="M2751" s="52">
        <f t="shared" si="3697"/>
        <v>0</v>
      </c>
      <c r="N2751" s="2">
        <f t="shared" si="3692"/>
        <v>-1.1999999999999993</v>
      </c>
      <c r="O2751" s="2">
        <f t="shared" si="3694"/>
        <v>-3599.9999999999977</v>
      </c>
      <c r="P2751" s="25"/>
      <c r="Q2751" s="25"/>
      <c r="R2751" s="25"/>
      <c r="S2751" s="25"/>
      <c r="T2751" s="25"/>
      <c r="U2751" s="25"/>
      <c r="V2751" s="25"/>
      <c r="W2751" s="25"/>
      <c r="X2751" s="25"/>
      <c r="Y2751" s="25"/>
      <c r="Z2751" s="25"/>
      <c r="AA2751" s="25"/>
      <c r="AB2751" s="25"/>
      <c r="AC2751" s="25"/>
      <c r="AD2751" s="25"/>
      <c r="AE2751" s="25"/>
      <c r="AF2751" s="25"/>
      <c r="AG2751" s="25"/>
    </row>
    <row r="2752" spans="1:33" s="5" customFormat="1" ht="15" customHeight="1">
      <c r="A2752" s="4">
        <v>42797</v>
      </c>
      <c r="B2752" s="5" t="s">
        <v>72</v>
      </c>
      <c r="C2752" s="5" t="s">
        <v>46</v>
      </c>
      <c r="D2752" s="5">
        <v>620</v>
      </c>
      <c r="E2752" s="9">
        <v>1200</v>
      </c>
      <c r="F2752" s="5" t="s">
        <v>8</v>
      </c>
      <c r="G2752" s="5">
        <v>17.2</v>
      </c>
      <c r="H2752" s="5">
        <v>19.2</v>
      </c>
      <c r="I2752" s="5">
        <v>21.2</v>
      </c>
      <c r="J2752" s="5">
        <v>0</v>
      </c>
      <c r="K2752" s="1">
        <f t="shared" si="3690"/>
        <v>2400</v>
      </c>
      <c r="L2752" s="51">
        <f t="shared" si="3691"/>
        <v>2400</v>
      </c>
      <c r="M2752" s="52">
        <v>0</v>
      </c>
      <c r="N2752" s="2">
        <f t="shared" si="3692"/>
        <v>4</v>
      </c>
      <c r="O2752" s="2">
        <f t="shared" si="3694"/>
        <v>4800</v>
      </c>
      <c r="P2752" s="25"/>
      <c r="Q2752" s="25"/>
      <c r="R2752" s="25"/>
      <c r="S2752" s="25"/>
      <c r="T2752" s="25"/>
      <c r="U2752" s="25"/>
      <c r="V2752" s="25"/>
      <c r="W2752" s="25"/>
      <c r="X2752" s="25"/>
      <c r="Y2752" s="25"/>
      <c r="Z2752" s="25"/>
      <c r="AA2752" s="25"/>
      <c r="AB2752" s="25"/>
      <c r="AC2752" s="25"/>
      <c r="AD2752" s="25"/>
      <c r="AE2752" s="25"/>
      <c r="AF2752" s="25"/>
      <c r="AG2752" s="25"/>
    </row>
    <row r="2753" spans="1:33" s="5" customFormat="1" ht="15" customHeight="1">
      <c r="A2753" s="4">
        <v>42797</v>
      </c>
      <c r="B2753" s="5" t="s">
        <v>37</v>
      </c>
      <c r="C2753" s="5" t="s">
        <v>47</v>
      </c>
      <c r="D2753" s="5">
        <v>2500</v>
      </c>
      <c r="E2753" s="9">
        <v>250</v>
      </c>
      <c r="F2753" s="5" t="s">
        <v>8</v>
      </c>
      <c r="G2753" s="5">
        <v>59</v>
      </c>
      <c r="H2753" s="5">
        <v>59</v>
      </c>
      <c r="I2753" s="5">
        <v>0</v>
      </c>
      <c r="J2753" s="5">
        <v>0</v>
      </c>
      <c r="K2753" s="1">
        <f t="shared" si="3690"/>
        <v>0</v>
      </c>
      <c r="L2753" s="51">
        <v>0</v>
      </c>
      <c r="M2753" s="52">
        <f t="shared" ref="M2753:M2774" si="3698">(IF(F2753="SELL",IF(J2753="",0,I2753-J2753),IF(F2753="BUY",IF(J2753="",0,(J2753-I2753)))))*E2753</f>
        <v>0</v>
      </c>
      <c r="N2753" s="2">
        <f t="shared" si="3692"/>
        <v>0</v>
      </c>
      <c r="O2753" s="2">
        <f t="shared" si="3694"/>
        <v>0</v>
      </c>
      <c r="P2753" s="25"/>
      <c r="Q2753" s="25"/>
      <c r="R2753" s="25"/>
      <c r="S2753" s="25"/>
      <c r="T2753" s="25"/>
      <c r="U2753" s="25"/>
      <c r="V2753" s="25"/>
      <c r="W2753" s="25"/>
      <c r="X2753" s="25"/>
      <c r="Y2753" s="25"/>
      <c r="Z2753" s="25"/>
      <c r="AA2753" s="25"/>
      <c r="AB2753" s="25"/>
      <c r="AC2753" s="25"/>
      <c r="AD2753" s="25"/>
      <c r="AE2753" s="25"/>
      <c r="AF2753" s="25"/>
      <c r="AG2753" s="25"/>
    </row>
    <row r="2754" spans="1:33" s="5" customFormat="1" ht="15" customHeight="1">
      <c r="A2754" s="4">
        <v>42796</v>
      </c>
      <c r="B2754" s="5" t="s">
        <v>71</v>
      </c>
      <c r="C2754" s="5" t="s">
        <v>46</v>
      </c>
      <c r="D2754" s="5">
        <v>185</v>
      </c>
      <c r="E2754" s="9">
        <v>3000</v>
      </c>
      <c r="F2754" s="5" t="s">
        <v>8</v>
      </c>
      <c r="G2754" s="5">
        <v>6.5</v>
      </c>
      <c r="H2754" s="5">
        <v>6.5</v>
      </c>
      <c r="I2754" s="5">
        <v>0</v>
      </c>
      <c r="J2754" s="5">
        <v>0</v>
      </c>
      <c r="K2754" s="1">
        <f t="shared" si="3690"/>
        <v>0</v>
      </c>
      <c r="L2754" s="51">
        <v>0</v>
      </c>
      <c r="M2754" s="52">
        <f t="shared" si="3698"/>
        <v>0</v>
      </c>
      <c r="N2754" s="2">
        <f t="shared" si="3692"/>
        <v>0</v>
      </c>
      <c r="O2754" s="2">
        <f t="shared" si="3694"/>
        <v>0</v>
      </c>
      <c r="P2754" s="25"/>
      <c r="Q2754" s="25"/>
      <c r="R2754" s="25"/>
      <c r="S2754" s="25"/>
      <c r="T2754" s="25"/>
      <c r="U2754" s="25"/>
      <c r="V2754" s="25"/>
      <c r="W2754" s="25"/>
      <c r="X2754" s="25"/>
      <c r="Y2754" s="25"/>
      <c r="Z2754" s="25"/>
      <c r="AA2754" s="25"/>
      <c r="AB2754" s="25"/>
      <c r="AC2754" s="25"/>
      <c r="AD2754" s="25"/>
      <c r="AE2754" s="25"/>
      <c r="AF2754" s="25"/>
      <c r="AG2754" s="25"/>
    </row>
    <row r="2755" spans="1:33" s="5" customFormat="1" ht="15" customHeight="1">
      <c r="A2755" s="4">
        <v>42795</v>
      </c>
      <c r="B2755" s="5" t="s">
        <v>70</v>
      </c>
      <c r="C2755" s="5" t="s">
        <v>47</v>
      </c>
      <c r="D2755" s="5">
        <v>155</v>
      </c>
      <c r="E2755" s="9">
        <v>6000</v>
      </c>
      <c r="F2755" s="5" t="s">
        <v>8</v>
      </c>
      <c r="G2755" s="5">
        <v>6</v>
      </c>
      <c r="H2755" s="5">
        <v>6</v>
      </c>
      <c r="I2755" s="5">
        <v>0</v>
      </c>
      <c r="J2755" s="5">
        <v>0</v>
      </c>
      <c r="K2755" s="1">
        <f t="shared" si="3690"/>
        <v>0</v>
      </c>
      <c r="L2755" s="51">
        <v>0</v>
      </c>
      <c r="M2755" s="52">
        <f t="shared" si="3698"/>
        <v>0</v>
      </c>
      <c r="N2755" s="2">
        <f t="shared" si="3692"/>
        <v>0</v>
      </c>
      <c r="O2755" s="2">
        <f t="shared" si="3694"/>
        <v>0</v>
      </c>
      <c r="P2755" s="25"/>
      <c r="Q2755" s="25"/>
      <c r="R2755" s="25"/>
      <c r="S2755" s="25"/>
      <c r="T2755" s="25"/>
      <c r="U2755" s="25"/>
      <c r="V2755" s="25"/>
      <c r="W2755" s="25"/>
      <c r="X2755" s="25"/>
      <c r="Y2755" s="25"/>
      <c r="Z2755" s="25"/>
      <c r="AA2755" s="25"/>
      <c r="AB2755" s="25"/>
      <c r="AC2755" s="25"/>
      <c r="AD2755" s="25"/>
      <c r="AE2755" s="25"/>
      <c r="AF2755" s="25"/>
      <c r="AG2755" s="25"/>
    </row>
    <row r="2756" spans="1:33" s="5" customFormat="1" ht="15" customHeight="1">
      <c r="A2756" s="4">
        <v>42795</v>
      </c>
      <c r="B2756" s="5" t="s">
        <v>69</v>
      </c>
      <c r="C2756" s="5" t="s">
        <v>47</v>
      </c>
      <c r="D2756" s="5">
        <v>370</v>
      </c>
      <c r="E2756" s="9">
        <v>2500</v>
      </c>
      <c r="F2756" s="5" t="s">
        <v>8</v>
      </c>
      <c r="G2756" s="5">
        <v>11.5</v>
      </c>
      <c r="H2756" s="5">
        <v>11.5</v>
      </c>
      <c r="I2756" s="5">
        <v>0</v>
      </c>
      <c r="J2756" s="5">
        <v>0</v>
      </c>
      <c r="K2756" s="1">
        <f t="shared" si="3690"/>
        <v>0</v>
      </c>
      <c r="L2756" s="51">
        <v>0</v>
      </c>
      <c r="M2756" s="52">
        <f t="shared" si="3698"/>
        <v>0</v>
      </c>
      <c r="N2756" s="2">
        <f t="shared" si="3692"/>
        <v>0</v>
      </c>
      <c r="O2756" s="2">
        <f t="shared" si="3694"/>
        <v>0</v>
      </c>
      <c r="P2756" s="25"/>
      <c r="Q2756" s="25"/>
      <c r="R2756" s="25"/>
      <c r="S2756" s="25"/>
      <c r="T2756" s="25"/>
      <c r="U2756" s="25"/>
      <c r="V2756" s="25"/>
      <c r="W2756" s="25"/>
      <c r="X2756" s="25"/>
      <c r="Y2756" s="25"/>
      <c r="Z2756" s="25"/>
      <c r="AA2756" s="25"/>
      <c r="AB2756" s="25"/>
      <c r="AC2756" s="25"/>
      <c r="AD2756" s="25"/>
      <c r="AE2756" s="25"/>
      <c r="AF2756" s="25"/>
      <c r="AG2756" s="25"/>
    </row>
    <row r="2757" spans="1:33" s="5" customFormat="1" ht="15" customHeight="1">
      <c r="A2757" s="4">
        <v>42795</v>
      </c>
      <c r="B2757" s="5" t="s">
        <v>68</v>
      </c>
      <c r="C2757" s="5" t="s">
        <v>47</v>
      </c>
      <c r="D2757" s="5">
        <v>1200</v>
      </c>
      <c r="E2757" s="9">
        <v>700</v>
      </c>
      <c r="F2757" s="5" t="s">
        <v>8</v>
      </c>
      <c r="G2757" s="5">
        <v>48</v>
      </c>
      <c r="H2757" s="5">
        <v>48</v>
      </c>
      <c r="I2757" s="5">
        <v>0</v>
      </c>
      <c r="J2757" s="5">
        <v>0</v>
      </c>
      <c r="K2757" s="1">
        <f t="shared" si="3690"/>
        <v>0</v>
      </c>
      <c r="L2757" s="51">
        <v>0</v>
      </c>
      <c r="M2757" s="52">
        <f t="shared" si="3698"/>
        <v>0</v>
      </c>
      <c r="N2757" s="2">
        <f t="shared" si="3692"/>
        <v>0</v>
      </c>
      <c r="O2757" s="2">
        <f t="shared" si="3694"/>
        <v>0</v>
      </c>
      <c r="P2757" s="25"/>
      <c r="Q2757" s="25"/>
      <c r="R2757" s="25"/>
      <c r="S2757" s="25"/>
      <c r="T2757" s="25"/>
      <c r="U2757" s="25"/>
      <c r="V2757" s="25"/>
      <c r="W2757" s="25"/>
      <c r="X2757" s="25"/>
      <c r="Y2757" s="25"/>
      <c r="Z2757" s="25"/>
      <c r="AA2757" s="25"/>
      <c r="AB2757" s="25"/>
      <c r="AC2757" s="25"/>
      <c r="AD2757" s="25"/>
      <c r="AE2757" s="25"/>
      <c r="AF2757" s="25"/>
      <c r="AG2757" s="25"/>
    </row>
    <row r="2758" spans="1:33" s="5" customFormat="1" ht="15" customHeight="1">
      <c r="A2758" s="4">
        <v>42794</v>
      </c>
      <c r="B2758" s="5" t="s">
        <v>67</v>
      </c>
      <c r="C2758" s="5" t="s">
        <v>47</v>
      </c>
      <c r="D2758" s="5">
        <v>740</v>
      </c>
      <c r="E2758" s="9">
        <v>1200</v>
      </c>
      <c r="F2758" s="5" t="s">
        <v>8</v>
      </c>
      <c r="G2758" s="5">
        <v>21</v>
      </c>
      <c r="H2758" s="5">
        <v>18</v>
      </c>
      <c r="I2758" s="5">
        <v>0</v>
      </c>
      <c r="J2758" s="5">
        <v>0</v>
      </c>
      <c r="K2758" s="1">
        <f t="shared" si="3690"/>
        <v>-3600</v>
      </c>
      <c r="L2758" s="51">
        <v>0</v>
      </c>
      <c r="M2758" s="52">
        <f t="shared" si="3698"/>
        <v>0</v>
      </c>
      <c r="N2758" s="2">
        <f t="shared" si="3692"/>
        <v>-3</v>
      </c>
      <c r="O2758" s="2">
        <f t="shared" si="3694"/>
        <v>-3600</v>
      </c>
      <c r="P2758" s="25"/>
      <c r="Q2758" s="25"/>
      <c r="R2758" s="25"/>
      <c r="S2758" s="25"/>
      <c r="T2758" s="25"/>
      <c r="U2758" s="25"/>
      <c r="V2758" s="25"/>
      <c r="W2758" s="25"/>
      <c r="X2758" s="25"/>
      <c r="Y2758" s="25"/>
      <c r="Z2758" s="25"/>
      <c r="AA2758" s="25"/>
      <c r="AB2758" s="25"/>
      <c r="AC2758" s="25"/>
      <c r="AD2758" s="25"/>
      <c r="AE2758" s="25"/>
      <c r="AF2758" s="25"/>
      <c r="AG2758" s="25"/>
    </row>
    <row r="2759" spans="1:33" s="5" customFormat="1" ht="15" customHeight="1">
      <c r="A2759" s="4">
        <v>42794</v>
      </c>
      <c r="B2759" s="5" t="s">
        <v>28</v>
      </c>
      <c r="C2759" s="5" t="s">
        <v>47</v>
      </c>
      <c r="D2759" s="5">
        <v>400</v>
      </c>
      <c r="E2759" s="9">
        <v>1700</v>
      </c>
      <c r="F2759" s="5" t="s">
        <v>8</v>
      </c>
      <c r="G2759" s="5">
        <v>10</v>
      </c>
      <c r="H2759" s="5">
        <v>10</v>
      </c>
      <c r="I2759" s="5">
        <v>0</v>
      </c>
      <c r="J2759" s="5">
        <v>0</v>
      </c>
      <c r="K2759" s="1">
        <f t="shared" si="3690"/>
        <v>0</v>
      </c>
      <c r="L2759" s="51">
        <v>0</v>
      </c>
      <c r="M2759" s="52">
        <f t="shared" si="3698"/>
        <v>0</v>
      </c>
      <c r="N2759" s="2">
        <f t="shared" si="3692"/>
        <v>0</v>
      </c>
      <c r="O2759" s="2">
        <f t="shared" si="3694"/>
        <v>0</v>
      </c>
      <c r="P2759" s="25"/>
      <c r="Q2759" s="25"/>
      <c r="R2759" s="25"/>
      <c r="S2759" s="25"/>
      <c r="T2759" s="25"/>
      <c r="U2759" s="25"/>
      <c r="V2759" s="25"/>
      <c r="W2759" s="25"/>
      <c r="X2759" s="25"/>
      <c r="Y2759" s="25"/>
      <c r="Z2759" s="25"/>
      <c r="AA2759" s="25"/>
      <c r="AB2759" s="25"/>
      <c r="AC2759" s="25"/>
      <c r="AD2759" s="25"/>
      <c r="AE2759" s="25"/>
      <c r="AF2759" s="25"/>
      <c r="AG2759" s="25"/>
    </row>
    <row r="2760" spans="1:33" s="5" customFormat="1" ht="15" customHeight="1">
      <c r="A2760" s="4">
        <v>42789</v>
      </c>
      <c r="B2760" s="5" t="s">
        <v>35</v>
      </c>
      <c r="C2760" s="5" t="s">
        <v>47</v>
      </c>
      <c r="D2760" s="5">
        <v>600</v>
      </c>
      <c r="E2760" s="9">
        <v>1100</v>
      </c>
      <c r="F2760" s="5" t="s">
        <v>8</v>
      </c>
      <c r="G2760" s="5">
        <v>9</v>
      </c>
      <c r="H2760" s="5">
        <v>9</v>
      </c>
      <c r="I2760" s="5">
        <v>0</v>
      </c>
      <c r="J2760" s="5">
        <v>0</v>
      </c>
      <c r="K2760" s="1">
        <f t="shared" si="3690"/>
        <v>0</v>
      </c>
      <c r="L2760" s="51">
        <v>0</v>
      </c>
      <c r="M2760" s="52">
        <f t="shared" si="3698"/>
        <v>0</v>
      </c>
      <c r="N2760" s="2">
        <f t="shared" si="3692"/>
        <v>0</v>
      </c>
      <c r="O2760" s="2">
        <f t="shared" si="3694"/>
        <v>0</v>
      </c>
      <c r="P2760" s="25"/>
      <c r="Q2760" s="25"/>
      <c r="R2760" s="25"/>
      <c r="S2760" s="25"/>
      <c r="T2760" s="25"/>
      <c r="U2760" s="25"/>
      <c r="V2760" s="25"/>
      <c r="W2760" s="25"/>
      <c r="X2760" s="25"/>
      <c r="Y2760" s="25"/>
      <c r="Z2760" s="25"/>
      <c r="AA2760" s="25"/>
      <c r="AB2760" s="25"/>
      <c r="AC2760" s="25"/>
      <c r="AD2760" s="25"/>
      <c r="AE2760" s="25"/>
      <c r="AF2760" s="25"/>
      <c r="AG2760" s="25"/>
    </row>
    <row r="2761" spans="1:33" s="5" customFormat="1" ht="15" customHeight="1">
      <c r="A2761" s="4">
        <v>42789</v>
      </c>
      <c r="B2761" s="5" t="s">
        <v>33</v>
      </c>
      <c r="C2761" s="5" t="s">
        <v>47</v>
      </c>
      <c r="D2761" s="5">
        <v>540</v>
      </c>
      <c r="E2761" s="9">
        <v>1500</v>
      </c>
      <c r="F2761" s="5" t="s">
        <v>8</v>
      </c>
      <c r="G2761" s="5">
        <v>6.8</v>
      </c>
      <c r="H2761" s="5">
        <v>4.8</v>
      </c>
      <c r="I2761" s="5">
        <v>0</v>
      </c>
      <c r="J2761" s="5">
        <v>0</v>
      </c>
      <c r="K2761" s="1">
        <f t="shared" si="3690"/>
        <v>-3000</v>
      </c>
      <c r="L2761" s="51">
        <v>0</v>
      </c>
      <c r="M2761" s="52">
        <f t="shared" si="3698"/>
        <v>0</v>
      </c>
      <c r="N2761" s="2">
        <f t="shared" si="3692"/>
        <v>-2</v>
      </c>
      <c r="O2761" s="2">
        <f t="shared" si="3694"/>
        <v>-3000</v>
      </c>
      <c r="P2761" s="25"/>
      <c r="Q2761" s="25"/>
      <c r="R2761" s="25"/>
      <c r="S2761" s="25"/>
      <c r="T2761" s="25"/>
      <c r="U2761" s="25"/>
      <c r="V2761" s="25"/>
      <c r="W2761" s="25"/>
      <c r="X2761" s="25"/>
      <c r="Y2761" s="25"/>
      <c r="Z2761" s="25"/>
      <c r="AA2761" s="25"/>
      <c r="AB2761" s="25"/>
      <c r="AC2761" s="25"/>
      <c r="AD2761" s="25"/>
      <c r="AE2761" s="25"/>
      <c r="AF2761" s="25"/>
      <c r="AG2761" s="25"/>
    </row>
    <row r="2762" spans="1:33" s="5" customFormat="1" ht="15" customHeight="1">
      <c r="A2762" s="4">
        <v>42788</v>
      </c>
      <c r="B2762" s="5" t="s">
        <v>17</v>
      </c>
      <c r="C2762" s="5" t="s">
        <v>47</v>
      </c>
      <c r="D2762" s="5">
        <v>520</v>
      </c>
      <c r="E2762" s="9">
        <v>1200</v>
      </c>
      <c r="F2762" s="5" t="s">
        <v>8</v>
      </c>
      <c r="G2762" s="5">
        <v>5</v>
      </c>
      <c r="H2762" s="5">
        <v>6</v>
      </c>
      <c r="I2762" s="5">
        <v>7</v>
      </c>
      <c r="J2762" s="5">
        <v>8</v>
      </c>
      <c r="K2762" s="1">
        <f t="shared" ref="K2762:K2774" si="3699">(IF(F2762="SELL",G2762-H2762,IF(F2762="BUY",H2762-G2762)))*E2762</f>
        <v>1200</v>
      </c>
      <c r="L2762" s="51">
        <f t="shared" ref="L2762:L2773" si="3700">(IF(F2762="SELL",IF(I2762="",0,H2762-I2762),IF(F2762="BUY",IF(I2762="",0,I2762-H2762))))*E2762</f>
        <v>1200</v>
      </c>
      <c r="M2762" s="52">
        <f t="shared" si="3698"/>
        <v>1200</v>
      </c>
      <c r="N2762" s="2">
        <f t="shared" si="3692"/>
        <v>3</v>
      </c>
      <c r="O2762" s="2">
        <f t="shared" si="3694"/>
        <v>3600</v>
      </c>
      <c r="P2762" s="25"/>
      <c r="Q2762" s="25"/>
      <c r="R2762" s="25"/>
      <c r="S2762" s="25"/>
      <c r="T2762" s="25"/>
      <c r="U2762" s="25"/>
      <c r="V2762" s="25"/>
      <c r="W2762" s="25"/>
      <c r="X2762" s="25"/>
      <c r="Y2762" s="25"/>
      <c r="Z2762" s="25"/>
      <c r="AA2762" s="25"/>
      <c r="AB2762" s="25"/>
      <c r="AC2762" s="25"/>
      <c r="AD2762" s="25"/>
      <c r="AE2762" s="25"/>
      <c r="AF2762" s="25"/>
      <c r="AG2762" s="25"/>
    </row>
    <row r="2763" spans="1:33" s="5" customFormat="1" ht="15" customHeight="1">
      <c r="A2763" s="4">
        <v>42788</v>
      </c>
      <c r="B2763" s="5" t="s">
        <v>28</v>
      </c>
      <c r="C2763" s="5" t="s">
        <v>46</v>
      </c>
      <c r="D2763" s="5">
        <v>370</v>
      </c>
      <c r="E2763" s="9">
        <v>1700</v>
      </c>
      <c r="F2763" s="5" t="s">
        <v>8</v>
      </c>
      <c r="G2763" s="5">
        <v>6.2</v>
      </c>
      <c r="H2763" s="5">
        <v>7.2</v>
      </c>
      <c r="I2763" s="5">
        <v>8.1999999999999993</v>
      </c>
      <c r="J2763" s="5">
        <v>9.1999999999999993</v>
      </c>
      <c r="K2763" s="1">
        <f t="shared" si="3699"/>
        <v>1700</v>
      </c>
      <c r="L2763" s="51">
        <f t="shared" si="3700"/>
        <v>1699.9999999999984</v>
      </c>
      <c r="M2763" s="52">
        <f t="shared" si="3698"/>
        <v>1700</v>
      </c>
      <c r="N2763" s="2">
        <f t="shared" si="3692"/>
        <v>2.9999999999999991</v>
      </c>
      <c r="O2763" s="2">
        <f t="shared" si="3694"/>
        <v>5099.9999999999982</v>
      </c>
      <c r="P2763" s="25"/>
      <c r="Q2763" s="25"/>
      <c r="R2763" s="25"/>
      <c r="S2763" s="25"/>
      <c r="T2763" s="25"/>
      <c r="U2763" s="25"/>
      <c r="V2763" s="25"/>
      <c r="W2763" s="25"/>
      <c r="X2763" s="25"/>
      <c r="Y2763" s="25"/>
      <c r="Z2763" s="25"/>
      <c r="AA2763" s="25"/>
      <c r="AB2763" s="25"/>
      <c r="AC2763" s="25"/>
      <c r="AD2763" s="25"/>
      <c r="AE2763" s="25"/>
      <c r="AF2763" s="25"/>
      <c r="AG2763" s="25"/>
    </row>
    <row r="2764" spans="1:33" s="5" customFormat="1" ht="15" customHeight="1">
      <c r="A2764" s="4">
        <v>42787</v>
      </c>
      <c r="B2764" s="5" t="s">
        <v>66</v>
      </c>
      <c r="C2764" s="5" t="s">
        <v>47</v>
      </c>
      <c r="D2764" s="5">
        <v>420</v>
      </c>
      <c r="E2764" s="9">
        <v>1000</v>
      </c>
      <c r="F2764" s="5" t="s">
        <v>8</v>
      </c>
      <c r="G2764" s="5">
        <v>4</v>
      </c>
      <c r="H2764" s="5">
        <v>5</v>
      </c>
      <c r="I2764" s="5">
        <v>6</v>
      </c>
      <c r="J2764" s="5">
        <v>7</v>
      </c>
      <c r="K2764" s="1">
        <f t="shared" si="3699"/>
        <v>1000</v>
      </c>
      <c r="L2764" s="51">
        <f t="shared" si="3700"/>
        <v>1000</v>
      </c>
      <c r="M2764" s="52">
        <f t="shared" si="3698"/>
        <v>1000</v>
      </c>
      <c r="N2764" s="2">
        <f t="shared" ref="N2764:N2827" si="3701">(L2764+K2764+M2764)/E2764</f>
        <v>3</v>
      </c>
      <c r="O2764" s="2">
        <f t="shared" si="3694"/>
        <v>3000</v>
      </c>
      <c r="P2764" s="25"/>
      <c r="Q2764" s="25"/>
      <c r="R2764" s="25"/>
      <c r="S2764" s="25"/>
      <c r="T2764" s="25"/>
      <c r="U2764" s="25"/>
      <c r="V2764" s="25"/>
      <c r="W2764" s="25"/>
      <c r="X2764" s="25"/>
      <c r="Y2764" s="25"/>
      <c r="Z2764" s="25"/>
      <c r="AA2764" s="25"/>
      <c r="AB2764" s="25"/>
      <c r="AC2764" s="25"/>
      <c r="AD2764" s="25"/>
      <c r="AE2764" s="25"/>
      <c r="AF2764" s="25"/>
      <c r="AG2764" s="25"/>
    </row>
    <row r="2765" spans="1:33" s="5" customFormat="1" ht="15" customHeight="1">
      <c r="A2765" s="4">
        <v>42787</v>
      </c>
      <c r="B2765" s="5" t="s">
        <v>26</v>
      </c>
      <c r="C2765" s="5" t="s">
        <v>47</v>
      </c>
      <c r="D2765" s="5">
        <v>490</v>
      </c>
      <c r="E2765" s="9">
        <v>2000</v>
      </c>
      <c r="F2765" s="5" t="s">
        <v>8</v>
      </c>
      <c r="G2765" s="5">
        <v>7</v>
      </c>
      <c r="H2765" s="5">
        <v>7.5</v>
      </c>
      <c r="I2765" s="5">
        <v>8</v>
      </c>
      <c r="J2765" s="5">
        <v>8.5</v>
      </c>
      <c r="K2765" s="1">
        <f t="shared" si="3699"/>
        <v>1000</v>
      </c>
      <c r="L2765" s="51">
        <f t="shared" si="3700"/>
        <v>1000</v>
      </c>
      <c r="M2765" s="52">
        <f t="shared" si="3698"/>
        <v>1000</v>
      </c>
      <c r="N2765" s="2">
        <f t="shared" si="3701"/>
        <v>1.5</v>
      </c>
      <c r="O2765" s="2">
        <f t="shared" si="3694"/>
        <v>3000</v>
      </c>
      <c r="P2765" s="25"/>
      <c r="Q2765" s="25"/>
      <c r="R2765" s="25"/>
      <c r="S2765" s="25"/>
      <c r="T2765" s="25"/>
      <c r="U2765" s="25"/>
      <c r="V2765" s="25"/>
      <c r="W2765" s="25"/>
      <c r="X2765" s="25"/>
      <c r="Y2765" s="25"/>
      <c r="Z2765" s="25"/>
      <c r="AA2765" s="25"/>
      <c r="AB2765" s="25"/>
      <c r="AC2765" s="25"/>
      <c r="AD2765" s="25"/>
      <c r="AE2765" s="25"/>
      <c r="AF2765" s="25"/>
      <c r="AG2765" s="25"/>
    </row>
    <row r="2766" spans="1:33" s="5" customFormat="1" ht="15" customHeight="1">
      <c r="A2766" s="4">
        <v>42787</v>
      </c>
      <c r="B2766" s="5" t="s">
        <v>26</v>
      </c>
      <c r="C2766" s="5" t="s">
        <v>47</v>
      </c>
      <c r="D2766" s="5">
        <v>480</v>
      </c>
      <c r="E2766" s="9">
        <v>2000</v>
      </c>
      <c r="F2766" s="5" t="s">
        <v>8</v>
      </c>
      <c r="G2766" s="5">
        <v>6</v>
      </c>
      <c r="H2766" s="5">
        <v>6.5</v>
      </c>
      <c r="I2766" s="5">
        <v>7</v>
      </c>
      <c r="J2766" s="5">
        <v>7.5</v>
      </c>
      <c r="K2766" s="1">
        <f t="shared" si="3699"/>
        <v>1000</v>
      </c>
      <c r="L2766" s="51">
        <f t="shared" si="3700"/>
        <v>1000</v>
      </c>
      <c r="M2766" s="52">
        <f t="shared" si="3698"/>
        <v>1000</v>
      </c>
      <c r="N2766" s="2">
        <f t="shared" si="3701"/>
        <v>1.5</v>
      </c>
      <c r="O2766" s="2">
        <f t="shared" si="3694"/>
        <v>3000</v>
      </c>
      <c r="P2766" s="25"/>
      <c r="Q2766" s="25"/>
      <c r="R2766" s="25"/>
      <c r="S2766" s="25"/>
      <c r="T2766" s="25"/>
      <c r="U2766" s="25"/>
      <c r="V2766" s="25"/>
      <c r="W2766" s="25"/>
      <c r="X2766" s="25"/>
      <c r="Y2766" s="25"/>
      <c r="Z2766" s="25"/>
      <c r="AA2766" s="25"/>
      <c r="AB2766" s="25"/>
      <c r="AC2766" s="25"/>
      <c r="AD2766" s="25"/>
      <c r="AE2766" s="25"/>
      <c r="AF2766" s="25"/>
      <c r="AG2766" s="25"/>
    </row>
    <row r="2767" spans="1:33" s="5" customFormat="1" ht="15" customHeight="1">
      <c r="A2767" s="4">
        <v>42786</v>
      </c>
      <c r="B2767" s="5" t="s">
        <v>34</v>
      </c>
      <c r="C2767" s="5" t="s">
        <v>46</v>
      </c>
      <c r="D2767" s="5">
        <v>180</v>
      </c>
      <c r="E2767" s="9">
        <v>3500</v>
      </c>
      <c r="F2767" s="5" t="s">
        <v>8</v>
      </c>
      <c r="G2767" s="5">
        <v>3.2</v>
      </c>
      <c r="H2767" s="5">
        <v>2.2000000000000002</v>
      </c>
      <c r="I2767" s="5">
        <v>0</v>
      </c>
      <c r="J2767" s="5">
        <v>0</v>
      </c>
      <c r="K2767" s="1">
        <f t="shared" si="3699"/>
        <v>-3500</v>
      </c>
      <c r="L2767" s="51">
        <v>0</v>
      </c>
      <c r="M2767" s="52">
        <f t="shared" si="3698"/>
        <v>0</v>
      </c>
      <c r="N2767" s="2">
        <f t="shared" si="3701"/>
        <v>-1</v>
      </c>
      <c r="O2767" s="2">
        <f t="shared" si="3694"/>
        <v>-3500</v>
      </c>
      <c r="P2767" s="25"/>
      <c r="Q2767" s="25"/>
      <c r="R2767" s="25"/>
      <c r="S2767" s="25"/>
      <c r="T2767" s="25"/>
      <c r="U2767" s="25"/>
      <c r="V2767" s="25"/>
      <c r="W2767" s="25"/>
      <c r="X2767" s="25"/>
      <c r="Y2767" s="25"/>
      <c r="Z2767" s="25"/>
      <c r="AA2767" s="25"/>
      <c r="AB2767" s="25"/>
      <c r="AC2767" s="25"/>
      <c r="AD2767" s="25"/>
      <c r="AE2767" s="25"/>
      <c r="AF2767" s="25"/>
      <c r="AG2767" s="25"/>
    </row>
    <row r="2768" spans="1:33">
      <c r="A2768" s="4">
        <v>42786</v>
      </c>
      <c r="B2768" s="5" t="s">
        <v>54</v>
      </c>
      <c r="C2768" s="5" t="s">
        <v>46</v>
      </c>
      <c r="D2768" s="5">
        <v>650</v>
      </c>
      <c r="E2768" s="9">
        <v>2000</v>
      </c>
      <c r="F2768" s="5" t="s">
        <v>8</v>
      </c>
      <c r="G2768" s="5">
        <v>4.5</v>
      </c>
      <c r="H2768" s="5">
        <v>5</v>
      </c>
      <c r="I2768" s="5">
        <v>0</v>
      </c>
      <c r="J2768" s="5">
        <v>0</v>
      </c>
      <c r="K2768" s="1">
        <f t="shared" si="3699"/>
        <v>1000</v>
      </c>
      <c r="L2768" s="51">
        <v>0</v>
      </c>
      <c r="M2768" s="52">
        <f t="shared" si="3698"/>
        <v>0</v>
      </c>
      <c r="N2768" s="2">
        <f t="shared" si="3701"/>
        <v>0.5</v>
      </c>
      <c r="O2768" s="2">
        <f t="shared" si="3694"/>
        <v>1000</v>
      </c>
      <c r="P2768" s="24"/>
      <c r="Q2768" s="24"/>
      <c r="R2768" s="24"/>
      <c r="S2768" s="24"/>
      <c r="T2768" s="24"/>
      <c r="U2768" s="24"/>
      <c r="V2768" s="24"/>
      <c r="W2768" s="24"/>
      <c r="X2768" s="24"/>
      <c r="Y2768" s="24"/>
      <c r="Z2768" s="24"/>
      <c r="AA2768" s="24"/>
      <c r="AB2768" s="24"/>
      <c r="AC2768" s="24"/>
      <c r="AD2768" s="24"/>
      <c r="AE2768" s="24"/>
      <c r="AF2768" s="24"/>
      <c r="AG2768" s="24"/>
    </row>
    <row r="2769" spans="1:33">
      <c r="A2769" s="4">
        <v>42786</v>
      </c>
      <c r="B2769" s="5" t="s">
        <v>64</v>
      </c>
      <c r="C2769" s="5" t="s">
        <v>47</v>
      </c>
      <c r="D2769" s="5">
        <v>740</v>
      </c>
      <c r="E2769" s="9">
        <v>600</v>
      </c>
      <c r="F2769" s="5" t="s">
        <v>8</v>
      </c>
      <c r="G2769" s="5">
        <v>11</v>
      </c>
      <c r="H2769" s="5">
        <v>13</v>
      </c>
      <c r="I2769" s="5">
        <v>0</v>
      </c>
      <c r="J2769" s="5">
        <v>0</v>
      </c>
      <c r="K2769" s="1">
        <f t="shared" si="3699"/>
        <v>1200</v>
      </c>
      <c r="L2769" s="51">
        <v>0</v>
      </c>
      <c r="M2769" s="52">
        <f t="shared" si="3698"/>
        <v>0</v>
      </c>
      <c r="N2769" s="2">
        <f t="shared" si="3701"/>
        <v>2</v>
      </c>
      <c r="O2769" s="2">
        <f t="shared" si="3694"/>
        <v>1200</v>
      </c>
      <c r="P2769" s="24"/>
      <c r="Q2769" s="24"/>
      <c r="R2769" s="24"/>
      <c r="S2769" s="24"/>
      <c r="T2769" s="24"/>
      <c r="U2769" s="24"/>
      <c r="V2769" s="24"/>
      <c r="W2769" s="24"/>
      <c r="X2769" s="24"/>
      <c r="Y2769" s="24"/>
      <c r="Z2769" s="24"/>
      <c r="AA2769" s="24"/>
      <c r="AB2769" s="24"/>
      <c r="AC2769" s="24"/>
      <c r="AD2769" s="24"/>
      <c r="AE2769" s="24"/>
      <c r="AF2769" s="24"/>
      <c r="AG2769" s="24"/>
    </row>
    <row r="2770" spans="1:33">
      <c r="A2770" s="4">
        <v>42783</v>
      </c>
      <c r="B2770" s="5" t="s">
        <v>11</v>
      </c>
      <c r="C2770" s="5" t="s">
        <v>47</v>
      </c>
      <c r="D2770" s="5">
        <v>900</v>
      </c>
      <c r="E2770" s="9">
        <v>1000</v>
      </c>
      <c r="F2770" s="5" t="s">
        <v>8</v>
      </c>
      <c r="G2770" s="5">
        <v>7</v>
      </c>
      <c r="H2770" s="5">
        <v>8</v>
      </c>
      <c r="I2770" s="5">
        <v>9</v>
      </c>
      <c r="J2770" s="5">
        <v>10</v>
      </c>
      <c r="K2770" s="1">
        <f t="shared" si="3699"/>
        <v>1000</v>
      </c>
      <c r="L2770" s="51">
        <f t="shared" si="3700"/>
        <v>1000</v>
      </c>
      <c r="M2770" s="52">
        <f t="shared" si="3698"/>
        <v>1000</v>
      </c>
      <c r="N2770" s="2">
        <f t="shared" si="3701"/>
        <v>3</v>
      </c>
      <c r="O2770" s="2">
        <f t="shared" si="3694"/>
        <v>3000</v>
      </c>
      <c r="P2770" s="24"/>
      <c r="Q2770" s="24"/>
      <c r="R2770" s="24"/>
      <c r="S2770" s="24"/>
      <c r="T2770" s="24"/>
      <c r="U2770" s="24"/>
      <c r="V2770" s="24"/>
      <c r="W2770" s="24"/>
      <c r="X2770" s="24"/>
      <c r="Y2770" s="24"/>
      <c r="Z2770" s="24"/>
      <c r="AA2770" s="24"/>
      <c r="AB2770" s="24"/>
      <c r="AC2770" s="24"/>
      <c r="AD2770" s="24"/>
      <c r="AE2770" s="24"/>
      <c r="AF2770" s="24"/>
      <c r="AG2770" s="24"/>
    </row>
    <row r="2771" spans="1:33">
      <c r="A2771" s="4">
        <v>42783</v>
      </c>
      <c r="B2771" s="5" t="s">
        <v>26</v>
      </c>
      <c r="C2771" s="5" t="s">
        <v>46</v>
      </c>
      <c r="D2771" s="5">
        <v>450</v>
      </c>
      <c r="E2771" s="9">
        <v>2000</v>
      </c>
      <c r="F2771" s="5" t="s">
        <v>8</v>
      </c>
      <c r="G2771" s="5">
        <v>4.4000000000000004</v>
      </c>
      <c r="H2771" s="5">
        <v>3.4</v>
      </c>
      <c r="I2771" s="5">
        <v>0</v>
      </c>
      <c r="J2771" s="5">
        <v>0</v>
      </c>
      <c r="K2771" s="1">
        <f t="shared" si="3699"/>
        <v>-2000.0000000000009</v>
      </c>
      <c r="L2771" s="51">
        <v>0</v>
      </c>
      <c r="M2771" s="52">
        <f t="shared" si="3698"/>
        <v>0</v>
      </c>
      <c r="N2771" s="2">
        <f t="shared" si="3701"/>
        <v>-1.0000000000000004</v>
      </c>
      <c r="O2771" s="2">
        <f t="shared" si="3694"/>
        <v>-2000.0000000000009</v>
      </c>
    </row>
    <row r="2772" spans="1:33">
      <c r="A2772" s="4">
        <v>42782</v>
      </c>
      <c r="B2772" s="5" t="s">
        <v>30</v>
      </c>
      <c r="C2772" s="5" t="s">
        <v>46</v>
      </c>
      <c r="D2772" s="5">
        <v>275</v>
      </c>
      <c r="E2772" s="9">
        <v>2500</v>
      </c>
      <c r="F2772" s="5" t="s">
        <v>8</v>
      </c>
      <c r="G2772" s="5">
        <v>4</v>
      </c>
      <c r="H2772" s="5">
        <v>3</v>
      </c>
      <c r="I2772" s="5">
        <v>0</v>
      </c>
      <c r="J2772" s="5">
        <v>0</v>
      </c>
      <c r="K2772" s="1">
        <f t="shared" si="3699"/>
        <v>-2500</v>
      </c>
      <c r="L2772" s="51">
        <v>0</v>
      </c>
      <c r="M2772" s="52">
        <f t="shared" si="3698"/>
        <v>0</v>
      </c>
      <c r="N2772" s="2">
        <f t="shared" si="3701"/>
        <v>-1</v>
      </c>
      <c r="O2772" s="2">
        <f t="shared" si="3694"/>
        <v>-2500</v>
      </c>
    </row>
    <row r="2773" spans="1:33">
      <c r="A2773" s="4">
        <v>42782</v>
      </c>
      <c r="B2773" s="5" t="s">
        <v>63</v>
      </c>
      <c r="C2773" s="5" t="s">
        <v>46</v>
      </c>
      <c r="D2773" s="5">
        <v>520</v>
      </c>
      <c r="E2773" s="9">
        <v>2100</v>
      </c>
      <c r="F2773" s="5" t="s">
        <v>8</v>
      </c>
      <c r="G2773" s="5">
        <v>4.5</v>
      </c>
      <c r="H2773" s="5">
        <v>5</v>
      </c>
      <c r="I2773" s="5">
        <v>5.5</v>
      </c>
      <c r="J2773" s="5">
        <v>6</v>
      </c>
      <c r="K2773" s="1">
        <f t="shared" si="3699"/>
        <v>1050</v>
      </c>
      <c r="L2773" s="51">
        <f t="shared" si="3700"/>
        <v>1050</v>
      </c>
      <c r="M2773" s="52">
        <f t="shared" si="3698"/>
        <v>1050</v>
      </c>
      <c r="N2773" s="2">
        <f t="shared" si="3701"/>
        <v>1.5</v>
      </c>
      <c r="O2773" s="2">
        <f t="shared" si="3694"/>
        <v>3150</v>
      </c>
    </row>
    <row r="2774" spans="1:33">
      <c r="A2774" s="4">
        <v>42781</v>
      </c>
      <c r="B2774" s="5" t="s">
        <v>35</v>
      </c>
      <c r="C2774" s="5" t="s">
        <v>46</v>
      </c>
      <c r="D2774" s="5">
        <v>550</v>
      </c>
      <c r="E2774" s="9">
        <v>1100</v>
      </c>
      <c r="F2774" s="5" t="s">
        <v>8</v>
      </c>
      <c r="G2774" s="5">
        <v>8</v>
      </c>
      <c r="H2774" s="5">
        <v>10</v>
      </c>
      <c r="I2774" s="5">
        <v>0</v>
      </c>
      <c r="J2774" s="5">
        <v>0</v>
      </c>
      <c r="K2774" s="1">
        <f t="shared" si="3699"/>
        <v>2200</v>
      </c>
      <c r="L2774" s="51">
        <v>0</v>
      </c>
      <c r="M2774" s="52">
        <f t="shared" si="3698"/>
        <v>0</v>
      </c>
      <c r="N2774" s="2">
        <f t="shared" si="3701"/>
        <v>2</v>
      </c>
      <c r="O2774" s="2">
        <f t="shared" si="3694"/>
        <v>2200</v>
      </c>
    </row>
    <row r="2775" spans="1:33">
      <c r="A2775" s="4">
        <v>42780</v>
      </c>
      <c r="B2775" s="5" t="s">
        <v>18</v>
      </c>
      <c r="C2775" s="21" t="s">
        <v>46</v>
      </c>
      <c r="D2775" s="7">
        <v>570</v>
      </c>
      <c r="E2775" s="9">
        <v>1000</v>
      </c>
      <c r="F2775" s="5" t="s">
        <v>8</v>
      </c>
      <c r="G2775" s="5">
        <v>8</v>
      </c>
      <c r="H2775" s="5">
        <v>9</v>
      </c>
      <c r="I2775" s="5">
        <v>0</v>
      </c>
      <c r="J2775" s="8">
        <v>0</v>
      </c>
      <c r="K2775" s="1">
        <f t="shared" ref="K2775:K2921" si="3702">(IF(F2775="SELL",G2775-H2775,IF(F2775="BUY",H2775-G2775)))*E2775</f>
        <v>1000</v>
      </c>
      <c r="L2775" s="51">
        <v>0</v>
      </c>
      <c r="M2775" s="51">
        <v>0</v>
      </c>
      <c r="N2775" s="2">
        <f t="shared" si="3701"/>
        <v>1</v>
      </c>
      <c r="O2775" s="2">
        <f t="shared" si="3694"/>
        <v>1000</v>
      </c>
    </row>
    <row r="2776" spans="1:33">
      <c r="A2776" s="4">
        <v>42776</v>
      </c>
      <c r="B2776" s="5" t="s">
        <v>32</v>
      </c>
      <c r="C2776" s="21" t="s">
        <v>46</v>
      </c>
      <c r="D2776" s="7">
        <v>660</v>
      </c>
      <c r="E2776" s="9">
        <v>700</v>
      </c>
      <c r="F2776" s="5" t="s">
        <v>8</v>
      </c>
      <c r="G2776" s="5">
        <v>5</v>
      </c>
      <c r="H2776" s="5">
        <v>6.5</v>
      </c>
      <c r="I2776" s="5">
        <v>8</v>
      </c>
      <c r="J2776" s="8">
        <v>0</v>
      </c>
      <c r="K2776" s="1">
        <f t="shared" si="3702"/>
        <v>1050</v>
      </c>
      <c r="L2776" s="51">
        <f t="shared" ref="L2776" si="3703">(IF(F2776="SELL",IF(I2776="",0,H2776-I2776),IF(F2776="BUY",IF(I2776="",0,I2776-H2776))))*E2776</f>
        <v>1050</v>
      </c>
      <c r="M2776" s="51">
        <v>0</v>
      </c>
      <c r="N2776" s="2">
        <f t="shared" si="3701"/>
        <v>3</v>
      </c>
      <c r="O2776" s="2">
        <f t="shared" si="3694"/>
        <v>2100</v>
      </c>
    </row>
    <row r="2777" spans="1:33">
      <c r="A2777" s="4">
        <v>42776</v>
      </c>
      <c r="B2777" s="5" t="s">
        <v>33</v>
      </c>
      <c r="C2777" s="21" t="s">
        <v>47</v>
      </c>
      <c r="D2777" s="7">
        <v>540</v>
      </c>
      <c r="E2777" s="9">
        <v>1500</v>
      </c>
      <c r="F2777" s="5" t="s">
        <v>8</v>
      </c>
      <c r="G2777" s="5">
        <v>5.5</v>
      </c>
      <c r="H2777" s="5">
        <v>6.5</v>
      </c>
      <c r="I2777" s="5">
        <v>0</v>
      </c>
      <c r="J2777" s="8">
        <v>0</v>
      </c>
      <c r="K2777" s="1">
        <f t="shared" si="3702"/>
        <v>1500</v>
      </c>
      <c r="L2777" s="51">
        <v>0</v>
      </c>
      <c r="M2777" s="51">
        <v>0</v>
      </c>
      <c r="N2777" s="2">
        <f t="shared" si="3701"/>
        <v>1</v>
      </c>
      <c r="O2777" s="2">
        <f t="shared" si="3694"/>
        <v>1500</v>
      </c>
    </row>
    <row r="2778" spans="1:33">
      <c r="A2778" s="4">
        <v>42775</v>
      </c>
      <c r="B2778" s="5" t="s">
        <v>19</v>
      </c>
      <c r="C2778" s="21" t="s">
        <v>46</v>
      </c>
      <c r="D2778" s="7">
        <v>1000</v>
      </c>
      <c r="E2778" s="9">
        <v>500</v>
      </c>
      <c r="F2778" s="5" t="s">
        <v>8</v>
      </c>
      <c r="G2778" s="5">
        <v>21</v>
      </c>
      <c r="H2778" s="5">
        <v>25</v>
      </c>
      <c r="I2778" s="5">
        <v>0</v>
      </c>
      <c r="J2778" s="8">
        <v>0</v>
      </c>
      <c r="K2778" s="1">
        <f t="shared" si="3702"/>
        <v>2000</v>
      </c>
      <c r="L2778" s="51">
        <v>0</v>
      </c>
      <c r="M2778" s="51">
        <v>0</v>
      </c>
      <c r="N2778" s="2">
        <f t="shared" si="3701"/>
        <v>4</v>
      </c>
      <c r="O2778" s="2">
        <f t="shared" si="3694"/>
        <v>2000</v>
      </c>
    </row>
    <row r="2779" spans="1:33">
      <c r="A2779" s="4">
        <v>42774</v>
      </c>
      <c r="B2779" s="5" t="s">
        <v>17</v>
      </c>
      <c r="C2779" s="21" t="s">
        <v>46</v>
      </c>
      <c r="D2779" s="7">
        <v>480</v>
      </c>
      <c r="E2779" s="9">
        <v>1200</v>
      </c>
      <c r="F2779" s="5" t="s">
        <v>8</v>
      </c>
      <c r="G2779" s="5">
        <v>7.5</v>
      </c>
      <c r="H2779" s="5">
        <v>8.5</v>
      </c>
      <c r="I2779" s="5">
        <v>0</v>
      </c>
      <c r="J2779" s="8">
        <v>0</v>
      </c>
      <c r="K2779" s="1">
        <f t="shared" si="3702"/>
        <v>1200</v>
      </c>
      <c r="L2779" s="51">
        <v>0</v>
      </c>
      <c r="M2779" s="51">
        <v>0</v>
      </c>
      <c r="N2779" s="2">
        <f t="shared" si="3701"/>
        <v>1</v>
      </c>
      <c r="O2779" s="2">
        <f t="shared" si="3694"/>
        <v>1200</v>
      </c>
    </row>
    <row r="2780" spans="1:33">
      <c r="A2780" s="4">
        <v>42774</v>
      </c>
      <c r="B2780" s="5" t="s">
        <v>14</v>
      </c>
      <c r="C2780" s="21" t="s">
        <v>46</v>
      </c>
      <c r="D2780" s="7">
        <v>360</v>
      </c>
      <c r="E2780" s="9">
        <v>2000</v>
      </c>
      <c r="F2780" s="5" t="s">
        <v>8</v>
      </c>
      <c r="G2780" s="5">
        <v>6.1</v>
      </c>
      <c r="H2780" s="5">
        <v>6.6</v>
      </c>
      <c r="I2780" s="5">
        <v>7.1</v>
      </c>
      <c r="J2780" s="8">
        <v>7.6</v>
      </c>
      <c r="K2780" s="1">
        <f t="shared" si="3702"/>
        <v>1000</v>
      </c>
      <c r="L2780" s="51">
        <f t="shared" ref="L2780:L2784" si="3704">(IF(F2780="SELL",IF(I2780="",0,H2780-I2780),IF(F2780="BUY",IF(I2780="",0,I2780-H2780))))*E2780</f>
        <v>1000</v>
      </c>
      <c r="M2780" s="52">
        <f>(IF(F2780="SELL",IF(J2780="",0,I2780-J2780),IF(F2780="BUY",IF(J2780="",0,(J2780-I2780)))))*E2780</f>
        <v>1000</v>
      </c>
      <c r="N2780" s="2">
        <f t="shared" si="3701"/>
        <v>1.5</v>
      </c>
      <c r="O2780" s="2">
        <f t="shared" si="3694"/>
        <v>3000</v>
      </c>
    </row>
    <row r="2781" spans="1:33">
      <c r="A2781" s="4">
        <v>42773</v>
      </c>
      <c r="B2781" s="5" t="s">
        <v>24</v>
      </c>
      <c r="C2781" s="21" t="s">
        <v>46</v>
      </c>
      <c r="D2781" s="7">
        <v>480</v>
      </c>
      <c r="E2781" s="9">
        <v>1500</v>
      </c>
      <c r="F2781" s="5" t="s">
        <v>8</v>
      </c>
      <c r="G2781" s="5">
        <v>5.5</v>
      </c>
      <c r="H2781" s="5">
        <v>6.5</v>
      </c>
      <c r="I2781" s="5">
        <v>7.5</v>
      </c>
      <c r="J2781" s="8">
        <v>0</v>
      </c>
      <c r="K2781" s="1">
        <f t="shared" si="3702"/>
        <v>1500</v>
      </c>
      <c r="L2781" s="51">
        <f t="shared" si="3704"/>
        <v>1500</v>
      </c>
      <c r="M2781" s="51">
        <v>0</v>
      </c>
      <c r="N2781" s="2">
        <f t="shared" si="3701"/>
        <v>2</v>
      </c>
      <c r="O2781" s="2">
        <f t="shared" si="3694"/>
        <v>3000</v>
      </c>
    </row>
    <row r="2782" spans="1:33">
      <c r="A2782" s="4">
        <v>42773</v>
      </c>
      <c r="B2782" s="5" t="s">
        <v>18</v>
      </c>
      <c r="C2782" s="21" t="s">
        <v>47</v>
      </c>
      <c r="D2782" s="7">
        <v>620</v>
      </c>
      <c r="E2782" s="9">
        <v>1000</v>
      </c>
      <c r="F2782" s="5" t="s">
        <v>8</v>
      </c>
      <c r="G2782" s="5">
        <v>9</v>
      </c>
      <c r="H2782" s="5">
        <v>10</v>
      </c>
      <c r="I2782" s="5">
        <v>11</v>
      </c>
      <c r="J2782" s="8">
        <v>12</v>
      </c>
      <c r="K2782" s="1">
        <f t="shared" si="3702"/>
        <v>1000</v>
      </c>
      <c r="L2782" s="51">
        <f t="shared" si="3704"/>
        <v>1000</v>
      </c>
      <c r="M2782" s="52">
        <f>(IF(F2782="SELL",IF(J2782="",0,I2782-J2782),IF(F2782="BUY",IF(J2782="",0,(J2782-I2782)))))*E2782</f>
        <v>1000</v>
      </c>
      <c r="N2782" s="2">
        <f t="shared" si="3701"/>
        <v>3</v>
      </c>
      <c r="O2782" s="2">
        <f t="shared" si="3694"/>
        <v>3000</v>
      </c>
    </row>
    <row r="2783" spans="1:33">
      <c r="A2783" s="4">
        <v>42769</v>
      </c>
      <c r="B2783" s="5" t="s">
        <v>33</v>
      </c>
      <c r="C2783" s="21" t="s">
        <v>47</v>
      </c>
      <c r="D2783" s="7">
        <v>540</v>
      </c>
      <c r="E2783" s="9">
        <v>1500</v>
      </c>
      <c r="F2783" s="5" t="s">
        <v>8</v>
      </c>
      <c r="G2783" s="5">
        <v>6.5</v>
      </c>
      <c r="H2783" s="5">
        <v>7.5</v>
      </c>
      <c r="I2783" s="5">
        <v>0</v>
      </c>
      <c r="J2783" s="8">
        <v>0</v>
      </c>
      <c r="K2783" s="1">
        <f t="shared" si="3702"/>
        <v>1500</v>
      </c>
      <c r="L2783" s="51">
        <v>0</v>
      </c>
      <c r="M2783" s="51">
        <v>0</v>
      </c>
      <c r="N2783" s="2">
        <f t="shared" si="3701"/>
        <v>1</v>
      </c>
      <c r="O2783" s="2">
        <f t="shared" si="3694"/>
        <v>1500</v>
      </c>
    </row>
    <row r="2784" spans="1:33">
      <c r="A2784" s="4">
        <v>42769</v>
      </c>
      <c r="B2784" s="5" t="s">
        <v>17</v>
      </c>
      <c r="C2784" s="21" t="s">
        <v>47</v>
      </c>
      <c r="D2784" s="7">
        <v>500</v>
      </c>
      <c r="E2784" s="9">
        <v>1200</v>
      </c>
      <c r="F2784" s="5" t="s">
        <v>8</v>
      </c>
      <c r="G2784" s="5">
        <v>6</v>
      </c>
      <c r="H2784" s="5">
        <v>7</v>
      </c>
      <c r="I2784" s="5">
        <v>8</v>
      </c>
      <c r="J2784" s="8">
        <v>0</v>
      </c>
      <c r="K2784" s="1">
        <f t="shared" si="3702"/>
        <v>1200</v>
      </c>
      <c r="L2784" s="51">
        <f t="shared" si="3704"/>
        <v>1200</v>
      </c>
      <c r="M2784" s="51">
        <v>0</v>
      </c>
      <c r="N2784" s="2">
        <f t="shared" si="3701"/>
        <v>2</v>
      </c>
      <c r="O2784" s="2">
        <f t="shared" ref="O2784:O2847" si="3705">N2784*E2784</f>
        <v>2400</v>
      </c>
    </row>
    <row r="2785" spans="1:15">
      <c r="A2785" s="4">
        <v>42769</v>
      </c>
      <c r="B2785" s="5" t="s">
        <v>24</v>
      </c>
      <c r="C2785" s="21" t="s">
        <v>46</v>
      </c>
      <c r="D2785" s="7">
        <v>500</v>
      </c>
      <c r="E2785" s="9">
        <v>1500</v>
      </c>
      <c r="F2785" s="5" t="s">
        <v>8</v>
      </c>
      <c r="G2785" s="5">
        <v>6.5</v>
      </c>
      <c r="H2785" s="5">
        <v>7.15</v>
      </c>
      <c r="I2785" s="5">
        <v>0</v>
      </c>
      <c r="J2785" s="8">
        <v>0</v>
      </c>
      <c r="K2785" s="1">
        <f t="shared" si="3702"/>
        <v>975.00000000000057</v>
      </c>
      <c r="L2785" s="51">
        <v>0</v>
      </c>
      <c r="M2785" s="51">
        <v>0</v>
      </c>
      <c r="N2785" s="2">
        <f t="shared" si="3701"/>
        <v>0.65000000000000036</v>
      </c>
      <c r="O2785" s="2">
        <f t="shared" si="3705"/>
        <v>975.00000000000057</v>
      </c>
    </row>
    <row r="2786" spans="1:15">
      <c r="A2786" s="4">
        <v>42768</v>
      </c>
      <c r="B2786" s="5" t="s">
        <v>34</v>
      </c>
      <c r="C2786" s="21" t="s">
        <v>46</v>
      </c>
      <c r="D2786" s="7">
        <v>185</v>
      </c>
      <c r="E2786" s="9">
        <v>3500</v>
      </c>
      <c r="F2786" s="5" t="s">
        <v>8</v>
      </c>
      <c r="G2786" s="5">
        <v>3.8</v>
      </c>
      <c r="H2786" s="5">
        <v>4.3</v>
      </c>
      <c r="I2786" s="5">
        <v>0</v>
      </c>
      <c r="J2786" s="8">
        <v>0</v>
      </c>
      <c r="K2786" s="1">
        <f t="shared" si="3702"/>
        <v>1750</v>
      </c>
      <c r="L2786" s="51">
        <v>0</v>
      </c>
      <c r="M2786" s="51">
        <v>0</v>
      </c>
      <c r="N2786" s="2">
        <f t="shared" si="3701"/>
        <v>0.5</v>
      </c>
      <c r="O2786" s="2">
        <f t="shared" si="3705"/>
        <v>1750</v>
      </c>
    </row>
    <row r="2787" spans="1:15">
      <c r="A2787" s="4">
        <v>42768</v>
      </c>
      <c r="B2787" s="5" t="s">
        <v>35</v>
      </c>
      <c r="C2787" s="21" t="s">
        <v>47</v>
      </c>
      <c r="D2787" s="7">
        <v>600</v>
      </c>
      <c r="E2787" s="9">
        <v>1100</v>
      </c>
      <c r="F2787" s="5" t="s">
        <v>8</v>
      </c>
      <c r="G2787" s="5">
        <v>7</v>
      </c>
      <c r="H2787" s="5">
        <v>8</v>
      </c>
      <c r="I2787" s="5">
        <v>0</v>
      </c>
      <c r="J2787" s="8">
        <v>0</v>
      </c>
      <c r="K2787" s="1">
        <f t="shared" si="3702"/>
        <v>1100</v>
      </c>
      <c r="L2787" s="51">
        <v>0</v>
      </c>
      <c r="M2787" s="51">
        <v>0</v>
      </c>
      <c r="N2787" s="2">
        <f t="shared" si="3701"/>
        <v>1</v>
      </c>
      <c r="O2787" s="2">
        <f t="shared" si="3705"/>
        <v>1100</v>
      </c>
    </row>
    <row r="2788" spans="1:15">
      <c r="A2788" s="4">
        <v>42767</v>
      </c>
      <c r="B2788" s="5" t="s">
        <v>21</v>
      </c>
      <c r="C2788" s="21" t="s">
        <v>47</v>
      </c>
      <c r="D2788" s="7">
        <v>280</v>
      </c>
      <c r="E2788" s="9">
        <v>3000</v>
      </c>
      <c r="F2788" s="5" t="s">
        <v>8</v>
      </c>
      <c r="G2788" s="5">
        <v>4.5999999999999996</v>
      </c>
      <c r="H2788" s="5">
        <v>5.0999999999999996</v>
      </c>
      <c r="I2788" s="5">
        <v>5.6</v>
      </c>
      <c r="J2788" s="8">
        <v>0</v>
      </c>
      <c r="K2788" s="1">
        <f t="shared" si="3702"/>
        <v>1500</v>
      </c>
      <c r="L2788" s="51">
        <f t="shared" ref="L2788:L2809" si="3706">(IF(F2788="SELL",IF(I2788="",0,H2788-I2788),IF(F2788="BUY",IF(I2788="",0,I2788-H2788))))*E2788</f>
        <v>1500</v>
      </c>
      <c r="M2788" s="51">
        <v>0</v>
      </c>
      <c r="N2788" s="2">
        <f t="shared" si="3701"/>
        <v>1</v>
      </c>
      <c r="O2788" s="2">
        <f t="shared" si="3705"/>
        <v>3000</v>
      </c>
    </row>
    <row r="2789" spans="1:15">
      <c r="A2789" s="4">
        <v>42767</v>
      </c>
      <c r="B2789" s="5" t="s">
        <v>13</v>
      </c>
      <c r="C2789" s="21" t="s">
        <v>46</v>
      </c>
      <c r="D2789" s="7">
        <v>780</v>
      </c>
      <c r="E2789" s="9">
        <v>700</v>
      </c>
      <c r="F2789" s="5" t="s">
        <v>8</v>
      </c>
      <c r="G2789" s="5">
        <v>7</v>
      </c>
      <c r="H2789" s="5">
        <v>9</v>
      </c>
      <c r="I2789" s="5">
        <v>11</v>
      </c>
      <c r="J2789" s="8">
        <v>13</v>
      </c>
      <c r="K2789" s="1">
        <f t="shared" si="3702"/>
        <v>1400</v>
      </c>
      <c r="L2789" s="51">
        <f t="shared" si="3706"/>
        <v>1400</v>
      </c>
      <c r="M2789" s="52">
        <f>(IF(F2789="SELL",IF(J2789="",0,I2789-J2789),IF(F2789="BUY",IF(J2789="",0,(J2789-I2789)))))*E2789</f>
        <v>1400</v>
      </c>
      <c r="N2789" s="2">
        <f t="shared" si="3701"/>
        <v>6</v>
      </c>
      <c r="O2789" s="2">
        <f t="shared" si="3705"/>
        <v>4200</v>
      </c>
    </row>
    <row r="2790" spans="1:15">
      <c r="A2790" s="4">
        <v>42766</v>
      </c>
      <c r="B2790" s="5" t="s">
        <v>12</v>
      </c>
      <c r="C2790" s="21" t="s">
        <v>47</v>
      </c>
      <c r="D2790" s="7">
        <v>700</v>
      </c>
      <c r="E2790" s="9">
        <v>600</v>
      </c>
      <c r="F2790" s="5" t="s">
        <v>8</v>
      </c>
      <c r="G2790" s="5">
        <v>37</v>
      </c>
      <c r="H2790" s="5">
        <v>42</v>
      </c>
      <c r="I2790" s="5">
        <v>46</v>
      </c>
      <c r="J2790" s="8">
        <v>0</v>
      </c>
      <c r="K2790" s="1">
        <f t="shared" si="3702"/>
        <v>3000</v>
      </c>
      <c r="L2790" s="51">
        <f t="shared" si="3706"/>
        <v>2400</v>
      </c>
      <c r="M2790" s="51">
        <v>0</v>
      </c>
      <c r="N2790" s="2">
        <f t="shared" si="3701"/>
        <v>9</v>
      </c>
      <c r="O2790" s="2">
        <f t="shared" si="3705"/>
        <v>5400</v>
      </c>
    </row>
    <row r="2791" spans="1:15">
      <c r="A2791" s="4">
        <v>42762</v>
      </c>
      <c r="B2791" s="5" t="s">
        <v>31</v>
      </c>
      <c r="C2791" s="21" t="s">
        <v>47</v>
      </c>
      <c r="D2791" s="7">
        <v>220</v>
      </c>
      <c r="E2791" s="9">
        <v>2500</v>
      </c>
      <c r="F2791" s="5" t="s">
        <v>8</v>
      </c>
      <c r="G2791" s="5">
        <v>9.5</v>
      </c>
      <c r="H2791" s="5">
        <v>10.5</v>
      </c>
      <c r="I2791" s="5">
        <v>11.5</v>
      </c>
      <c r="J2791" s="8">
        <v>12.5</v>
      </c>
      <c r="K2791" s="1">
        <f t="shared" si="3702"/>
        <v>2500</v>
      </c>
      <c r="L2791" s="51">
        <f t="shared" si="3706"/>
        <v>2500</v>
      </c>
      <c r="M2791" s="52">
        <f>(IF(F2791="SELL",IF(J2791="",0,I2791-J2791),IF(F2791="BUY",IF(J2791="",0,(J2791-I2791)))))*E2791</f>
        <v>2500</v>
      </c>
      <c r="N2791" s="2">
        <f t="shared" si="3701"/>
        <v>3</v>
      </c>
      <c r="O2791" s="2">
        <f t="shared" si="3705"/>
        <v>7500</v>
      </c>
    </row>
    <row r="2792" spans="1:15">
      <c r="A2792" s="4">
        <v>42760</v>
      </c>
      <c r="B2792" s="5" t="s">
        <v>21</v>
      </c>
      <c r="C2792" s="21" t="s">
        <v>46</v>
      </c>
      <c r="D2792" s="7">
        <v>260</v>
      </c>
      <c r="E2792" s="9">
        <v>3000</v>
      </c>
      <c r="F2792" s="5" t="s">
        <v>8</v>
      </c>
      <c r="G2792" s="5">
        <v>4</v>
      </c>
      <c r="H2792" s="5">
        <v>4.5</v>
      </c>
      <c r="I2792" s="5">
        <v>5</v>
      </c>
      <c r="J2792" s="8">
        <v>0</v>
      </c>
      <c r="K2792" s="1">
        <f t="shared" si="3702"/>
        <v>1500</v>
      </c>
      <c r="L2792" s="51">
        <f t="shared" si="3706"/>
        <v>1500</v>
      </c>
      <c r="M2792" s="51">
        <v>0</v>
      </c>
      <c r="N2792" s="2">
        <f t="shared" si="3701"/>
        <v>1</v>
      </c>
      <c r="O2792" s="2">
        <f t="shared" si="3705"/>
        <v>3000</v>
      </c>
    </row>
    <row r="2793" spans="1:15">
      <c r="A2793" s="4">
        <v>42755</v>
      </c>
      <c r="B2793" s="5" t="s">
        <v>30</v>
      </c>
      <c r="C2793" s="21" t="s">
        <v>46</v>
      </c>
      <c r="D2793" s="7">
        <v>265</v>
      </c>
      <c r="E2793" s="9">
        <v>2500</v>
      </c>
      <c r="F2793" s="5" t="s">
        <v>8</v>
      </c>
      <c r="G2793" s="5">
        <v>2.5</v>
      </c>
      <c r="H2793" s="5">
        <v>3</v>
      </c>
      <c r="I2793" s="5">
        <v>3.5</v>
      </c>
      <c r="J2793" s="8">
        <v>0</v>
      </c>
      <c r="K2793" s="1">
        <f t="shared" si="3702"/>
        <v>1250</v>
      </c>
      <c r="L2793" s="51">
        <f t="shared" si="3706"/>
        <v>1250</v>
      </c>
      <c r="M2793" s="51">
        <v>0</v>
      </c>
      <c r="N2793" s="2">
        <f t="shared" si="3701"/>
        <v>1</v>
      </c>
      <c r="O2793" s="2">
        <f t="shared" si="3705"/>
        <v>2500</v>
      </c>
    </row>
    <row r="2794" spans="1:15">
      <c r="A2794" s="4">
        <v>42755</v>
      </c>
      <c r="B2794" s="5" t="s">
        <v>34</v>
      </c>
      <c r="C2794" s="21" t="s">
        <v>46</v>
      </c>
      <c r="D2794" s="7">
        <v>175</v>
      </c>
      <c r="E2794" s="9">
        <v>3500</v>
      </c>
      <c r="F2794" s="5" t="s">
        <v>8</v>
      </c>
      <c r="G2794" s="5">
        <v>3.5</v>
      </c>
      <c r="H2794" s="5">
        <v>4</v>
      </c>
      <c r="I2794" s="5">
        <v>0</v>
      </c>
      <c r="J2794" s="8">
        <v>0</v>
      </c>
      <c r="K2794" s="1">
        <f t="shared" si="3702"/>
        <v>1750</v>
      </c>
      <c r="L2794" s="51">
        <v>0</v>
      </c>
      <c r="M2794" s="51">
        <v>0</v>
      </c>
      <c r="N2794" s="2">
        <f t="shared" si="3701"/>
        <v>0.5</v>
      </c>
      <c r="O2794" s="2">
        <f t="shared" si="3705"/>
        <v>1750</v>
      </c>
    </row>
    <row r="2795" spans="1:15">
      <c r="A2795" s="4">
        <v>42754</v>
      </c>
      <c r="B2795" s="5" t="s">
        <v>30</v>
      </c>
      <c r="C2795" s="21" t="s">
        <v>47</v>
      </c>
      <c r="D2795" s="7">
        <v>270</v>
      </c>
      <c r="E2795" s="9">
        <v>2500</v>
      </c>
      <c r="F2795" s="5" t="s">
        <v>8</v>
      </c>
      <c r="G2795" s="5">
        <v>4</v>
      </c>
      <c r="H2795" s="5">
        <v>4.5</v>
      </c>
      <c r="I2795" s="5">
        <v>5</v>
      </c>
      <c r="J2795" s="8">
        <v>0</v>
      </c>
      <c r="K2795" s="1">
        <f t="shared" si="3702"/>
        <v>1250</v>
      </c>
      <c r="L2795" s="51">
        <f t="shared" si="3706"/>
        <v>1250</v>
      </c>
      <c r="M2795" s="51">
        <v>0</v>
      </c>
      <c r="N2795" s="2">
        <f t="shared" si="3701"/>
        <v>1</v>
      </c>
      <c r="O2795" s="2">
        <f t="shared" si="3705"/>
        <v>2500</v>
      </c>
    </row>
    <row r="2796" spans="1:15">
      <c r="A2796" s="4">
        <v>42753</v>
      </c>
      <c r="B2796" s="5" t="s">
        <v>26</v>
      </c>
      <c r="C2796" s="21" t="s">
        <v>47</v>
      </c>
      <c r="D2796" s="7">
        <v>470</v>
      </c>
      <c r="E2796" s="9">
        <v>2000</v>
      </c>
      <c r="F2796" s="5" t="s">
        <v>8</v>
      </c>
      <c r="G2796" s="5">
        <v>4.5</v>
      </c>
      <c r="H2796" s="5">
        <v>5</v>
      </c>
      <c r="I2796" s="5">
        <v>5.5</v>
      </c>
      <c r="J2796" s="8">
        <v>6</v>
      </c>
      <c r="K2796" s="1">
        <f t="shared" si="3702"/>
        <v>1000</v>
      </c>
      <c r="L2796" s="51">
        <f t="shared" si="3706"/>
        <v>1000</v>
      </c>
      <c r="M2796" s="51">
        <f>(IF(F2796="SELL",IF(J2796="",0,I2796-J2796),IF(F2796="BUY",IF(J2796="",0,(J2796-I2796)))))*E2796</f>
        <v>1000</v>
      </c>
      <c r="N2796" s="2">
        <f t="shared" si="3701"/>
        <v>1.5</v>
      </c>
      <c r="O2796" s="2">
        <f t="shared" si="3705"/>
        <v>3000</v>
      </c>
    </row>
    <row r="2797" spans="1:15">
      <c r="A2797" s="4">
        <v>42753</v>
      </c>
      <c r="B2797" s="5" t="s">
        <v>10</v>
      </c>
      <c r="C2797" s="21" t="s">
        <v>46</v>
      </c>
      <c r="D2797" s="7">
        <v>360</v>
      </c>
      <c r="E2797" s="9">
        <v>2000</v>
      </c>
      <c r="F2797" s="5" t="s">
        <v>8</v>
      </c>
      <c r="G2797" s="5">
        <v>3.5</v>
      </c>
      <c r="H2797" s="5">
        <v>2.5</v>
      </c>
      <c r="I2797" s="5">
        <v>0</v>
      </c>
      <c r="J2797" s="8">
        <v>0</v>
      </c>
      <c r="K2797" s="1">
        <f t="shared" si="3702"/>
        <v>-2000</v>
      </c>
      <c r="L2797" s="51">
        <v>0</v>
      </c>
      <c r="M2797" s="51">
        <v>0</v>
      </c>
      <c r="N2797" s="2">
        <f t="shared" si="3701"/>
        <v>-1</v>
      </c>
      <c r="O2797" s="2">
        <f t="shared" si="3705"/>
        <v>-2000</v>
      </c>
    </row>
    <row r="2798" spans="1:15">
      <c r="A2798" s="4">
        <v>42752</v>
      </c>
      <c r="B2798" s="5" t="s">
        <v>17</v>
      </c>
      <c r="C2798" s="21" t="s">
        <v>47</v>
      </c>
      <c r="D2798" s="7">
        <v>500</v>
      </c>
      <c r="E2798" s="9">
        <v>1200</v>
      </c>
      <c r="F2798" s="5" t="s">
        <v>8</v>
      </c>
      <c r="G2798" s="5">
        <v>5</v>
      </c>
      <c r="H2798" s="5">
        <v>6</v>
      </c>
      <c r="I2798" s="5">
        <v>7</v>
      </c>
      <c r="J2798" s="8">
        <v>0</v>
      </c>
      <c r="K2798" s="1">
        <f t="shared" si="3702"/>
        <v>1200</v>
      </c>
      <c r="L2798" s="51">
        <f t="shared" si="3706"/>
        <v>1200</v>
      </c>
      <c r="M2798" s="51">
        <v>0</v>
      </c>
      <c r="N2798" s="2">
        <f t="shared" si="3701"/>
        <v>2</v>
      </c>
      <c r="O2798" s="2">
        <f t="shared" si="3705"/>
        <v>2400</v>
      </c>
    </row>
    <row r="2799" spans="1:15">
      <c r="A2799" s="4">
        <v>42752</v>
      </c>
      <c r="B2799" s="5" t="s">
        <v>26</v>
      </c>
      <c r="C2799" s="21" t="s">
        <v>47</v>
      </c>
      <c r="D2799" s="7">
        <v>460</v>
      </c>
      <c r="E2799" s="9">
        <v>2000</v>
      </c>
      <c r="F2799" s="5" t="s">
        <v>8</v>
      </c>
      <c r="G2799" s="5">
        <v>7.5</v>
      </c>
      <c r="H2799" s="5">
        <v>8</v>
      </c>
      <c r="I2799" s="5">
        <v>8.5</v>
      </c>
      <c r="J2799" s="8">
        <v>9</v>
      </c>
      <c r="K2799" s="1">
        <f t="shared" si="3702"/>
        <v>1000</v>
      </c>
      <c r="L2799" s="51">
        <f t="shared" si="3706"/>
        <v>1000</v>
      </c>
      <c r="M2799" s="51">
        <f>(IF(F2799="SELL",IF(J2799="",0,I2799-J2799),IF(F2799="BUY",IF(J2799="",0,(J2799-I2799)))))*E2799</f>
        <v>1000</v>
      </c>
      <c r="N2799" s="2">
        <f t="shared" si="3701"/>
        <v>1.5</v>
      </c>
      <c r="O2799" s="2">
        <f t="shared" si="3705"/>
        <v>3000</v>
      </c>
    </row>
    <row r="2800" spans="1:15">
      <c r="A2800" s="4">
        <v>42751</v>
      </c>
      <c r="B2800" s="5" t="s">
        <v>17</v>
      </c>
      <c r="C2800" s="21" t="s">
        <v>47</v>
      </c>
      <c r="D2800" s="7">
        <v>480</v>
      </c>
      <c r="E2800" s="9">
        <v>1200</v>
      </c>
      <c r="F2800" s="5" t="s">
        <v>8</v>
      </c>
      <c r="G2800" s="5">
        <v>7</v>
      </c>
      <c r="H2800" s="5">
        <v>8</v>
      </c>
      <c r="I2800" s="5">
        <v>9</v>
      </c>
      <c r="J2800" s="8">
        <v>0</v>
      </c>
      <c r="K2800" s="1">
        <f t="shared" si="3702"/>
        <v>1200</v>
      </c>
      <c r="L2800" s="51">
        <f t="shared" si="3706"/>
        <v>1200</v>
      </c>
      <c r="M2800" s="51">
        <v>0</v>
      </c>
      <c r="N2800" s="2">
        <f t="shared" si="3701"/>
        <v>2</v>
      </c>
      <c r="O2800" s="2">
        <f t="shared" si="3705"/>
        <v>2400</v>
      </c>
    </row>
    <row r="2801" spans="1:15">
      <c r="A2801" s="4">
        <v>42748</v>
      </c>
      <c r="B2801" s="5" t="s">
        <v>26</v>
      </c>
      <c r="C2801" s="21" t="s">
        <v>46</v>
      </c>
      <c r="D2801" s="7">
        <v>430</v>
      </c>
      <c r="E2801" s="9">
        <v>2000</v>
      </c>
      <c r="F2801" s="5" t="s">
        <v>8</v>
      </c>
      <c r="G2801" s="5">
        <v>4.7</v>
      </c>
      <c r="H2801" s="5">
        <v>5.2</v>
      </c>
      <c r="I2801" s="5">
        <v>0</v>
      </c>
      <c r="J2801" s="8">
        <v>0</v>
      </c>
      <c r="K2801" s="1">
        <f t="shared" si="3702"/>
        <v>1000</v>
      </c>
      <c r="L2801" s="51">
        <v>0</v>
      </c>
      <c r="M2801" s="51">
        <v>0</v>
      </c>
      <c r="N2801" s="2">
        <f t="shared" si="3701"/>
        <v>0.5</v>
      </c>
      <c r="O2801" s="2">
        <f t="shared" si="3705"/>
        <v>1000</v>
      </c>
    </row>
    <row r="2802" spans="1:15">
      <c r="A2802" s="4">
        <v>42748</v>
      </c>
      <c r="B2802" s="5" t="s">
        <v>36</v>
      </c>
      <c r="C2802" s="21" t="s">
        <v>47</v>
      </c>
      <c r="D2802" s="7">
        <v>360</v>
      </c>
      <c r="E2802" s="9">
        <v>3000</v>
      </c>
      <c r="F2802" s="5" t="s">
        <v>8</v>
      </c>
      <c r="G2802" s="5">
        <v>5</v>
      </c>
      <c r="H2802" s="5">
        <v>5.5</v>
      </c>
      <c r="I2802" s="5">
        <v>6</v>
      </c>
      <c r="J2802" s="8">
        <v>0</v>
      </c>
      <c r="K2802" s="1">
        <f t="shared" si="3702"/>
        <v>1500</v>
      </c>
      <c r="L2802" s="51">
        <f t="shared" si="3706"/>
        <v>1500</v>
      </c>
      <c r="M2802" s="51">
        <v>0</v>
      </c>
      <c r="N2802" s="2">
        <f t="shared" si="3701"/>
        <v>1</v>
      </c>
      <c r="O2802" s="2">
        <f t="shared" si="3705"/>
        <v>3000</v>
      </c>
    </row>
    <row r="2803" spans="1:15">
      <c r="A2803" s="4">
        <v>42747</v>
      </c>
      <c r="B2803" s="5" t="s">
        <v>26</v>
      </c>
      <c r="C2803" s="21" t="s">
        <v>47</v>
      </c>
      <c r="D2803" s="7">
        <v>460</v>
      </c>
      <c r="E2803" s="9">
        <v>2000</v>
      </c>
      <c r="F2803" s="5" t="s">
        <v>8</v>
      </c>
      <c r="G2803" s="5">
        <v>6.5</v>
      </c>
      <c r="H2803" s="5">
        <v>7</v>
      </c>
      <c r="I2803" s="5">
        <v>7.5</v>
      </c>
      <c r="J2803" s="8">
        <v>8</v>
      </c>
      <c r="K2803" s="1">
        <f t="shared" si="3702"/>
        <v>1000</v>
      </c>
      <c r="L2803" s="51">
        <f t="shared" si="3706"/>
        <v>1000</v>
      </c>
      <c r="M2803" s="51">
        <f>(IF(F2803="SELL",IF(J2803="",0,I2803-J2803),IF(F2803="BUY",IF(J2803="",0,(J2803-I2803)))))*E2803</f>
        <v>1000</v>
      </c>
      <c r="N2803" s="2">
        <f t="shared" si="3701"/>
        <v>1.5</v>
      </c>
      <c r="O2803" s="2">
        <f t="shared" si="3705"/>
        <v>3000</v>
      </c>
    </row>
    <row r="2804" spans="1:15">
      <c r="A2804" s="4">
        <v>42746</v>
      </c>
      <c r="B2804" s="5" t="s">
        <v>24</v>
      </c>
      <c r="C2804" s="21" t="s">
        <v>47</v>
      </c>
      <c r="D2804" s="7">
        <v>520</v>
      </c>
      <c r="E2804" s="9">
        <v>1500</v>
      </c>
      <c r="F2804" s="5" t="s">
        <v>8</v>
      </c>
      <c r="G2804" s="5">
        <v>8.5</v>
      </c>
      <c r="H2804" s="5">
        <v>9.5</v>
      </c>
      <c r="I2804" s="5">
        <v>10.5</v>
      </c>
      <c r="J2804" s="8">
        <v>0</v>
      </c>
      <c r="K2804" s="1">
        <f t="shared" si="3702"/>
        <v>1500</v>
      </c>
      <c r="L2804" s="51">
        <f t="shared" si="3706"/>
        <v>1500</v>
      </c>
      <c r="M2804" s="51">
        <v>0</v>
      </c>
      <c r="N2804" s="2">
        <f t="shared" si="3701"/>
        <v>2</v>
      </c>
      <c r="O2804" s="2">
        <f t="shared" si="3705"/>
        <v>3000</v>
      </c>
    </row>
    <row r="2805" spans="1:15">
      <c r="A2805" s="4">
        <v>42745</v>
      </c>
      <c r="B2805" s="5" t="s">
        <v>14</v>
      </c>
      <c r="C2805" s="21" t="s">
        <v>47</v>
      </c>
      <c r="D2805" s="7">
        <v>390</v>
      </c>
      <c r="E2805" s="9">
        <v>2000</v>
      </c>
      <c r="F2805" s="5" t="s">
        <v>8</v>
      </c>
      <c r="G2805" s="5">
        <v>5.4</v>
      </c>
      <c r="H2805" s="5">
        <v>5.9</v>
      </c>
      <c r="I2805" s="5">
        <v>0</v>
      </c>
      <c r="J2805" s="8">
        <v>0</v>
      </c>
      <c r="K2805" s="1">
        <f t="shared" si="3702"/>
        <v>1000</v>
      </c>
      <c r="L2805" s="51">
        <v>0</v>
      </c>
      <c r="M2805" s="51">
        <v>0</v>
      </c>
      <c r="N2805" s="2">
        <f t="shared" si="3701"/>
        <v>0.5</v>
      </c>
      <c r="O2805" s="2">
        <f t="shared" si="3705"/>
        <v>1000</v>
      </c>
    </row>
    <row r="2806" spans="1:15">
      <c r="A2806" s="4">
        <v>42745</v>
      </c>
      <c r="B2806" s="5" t="s">
        <v>37</v>
      </c>
      <c r="C2806" s="5" t="s">
        <v>46</v>
      </c>
      <c r="D2806" s="7">
        <v>2300</v>
      </c>
      <c r="E2806" s="9">
        <v>250</v>
      </c>
      <c r="F2806" s="5" t="s">
        <v>8</v>
      </c>
      <c r="G2806" s="5">
        <v>51</v>
      </c>
      <c r="H2806" s="5">
        <v>55</v>
      </c>
      <c r="I2806" s="5">
        <v>59</v>
      </c>
      <c r="J2806" s="5">
        <v>63</v>
      </c>
      <c r="K2806" s="1">
        <f t="shared" si="3702"/>
        <v>1000</v>
      </c>
      <c r="L2806" s="51">
        <f t="shared" si="3706"/>
        <v>1000</v>
      </c>
      <c r="M2806" s="51">
        <f>(IF(F2806="SELL",IF(J2806="",0,I2806-J2806),IF(F2806="BUY",IF(J2806="",0,(J2806-I2806)))))*E2806</f>
        <v>1000</v>
      </c>
      <c r="N2806" s="2">
        <f t="shared" si="3701"/>
        <v>12</v>
      </c>
      <c r="O2806" s="2">
        <f t="shared" si="3705"/>
        <v>3000</v>
      </c>
    </row>
    <row r="2807" spans="1:15">
      <c r="A2807" s="4">
        <v>42741</v>
      </c>
      <c r="B2807" s="5" t="s">
        <v>15</v>
      </c>
      <c r="C2807" s="5" t="s">
        <v>47</v>
      </c>
      <c r="D2807" s="7">
        <v>390</v>
      </c>
      <c r="E2807" s="9">
        <v>2000</v>
      </c>
      <c r="F2807" s="5" t="s">
        <v>8</v>
      </c>
      <c r="G2807" s="5">
        <v>6.1</v>
      </c>
      <c r="H2807" s="5">
        <v>6.6</v>
      </c>
      <c r="I2807" s="5">
        <v>7.1</v>
      </c>
      <c r="J2807" s="5">
        <v>0</v>
      </c>
      <c r="K2807" s="1">
        <f t="shared" si="3702"/>
        <v>1000</v>
      </c>
      <c r="L2807" s="51">
        <f t="shared" si="3706"/>
        <v>1000</v>
      </c>
      <c r="M2807" s="51">
        <v>0</v>
      </c>
      <c r="N2807" s="2">
        <f t="shared" si="3701"/>
        <v>1</v>
      </c>
      <c r="O2807" s="2">
        <f t="shared" si="3705"/>
        <v>2000</v>
      </c>
    </row>
    <row r="2808" spans="1:15">
      <c r="A2808" s="4">
        <v>42741</v>
      </c>
      <c r="B2808" s="5" t="s">
        <v>26</v>
      </c>
      <c r="C2808" s="5" t="s">
        <v>47</v>
      </c>
      <c r="D2808" s="7">
        <v>430</v>
      </c>
      <c r="E2808" s="9">
        <v>2000</v>
      </c>
      <c r="F2808" s="5" t="s">
        <v>8</v>
      </c>
      <c r="G2808" s="5">
        <v>4.95</v>
      </c>
      <c r="H2808" s="5">
        <v>5.45</v>
      </c>
      <c r="I2808" s="5">
        <v>5.95</v>
      </c>
      <c r="J2808" s="5">
        <v>6.45</v>
      </c>
      <c r="K2808" s="1">
        <f t="shared" si="3702"/>
        <v>1000</v>
      </c>
      <c r="L2808" s="51">
        <f t="shared" si="3706"/>
        <v>1000</v>
      </c>
      <c r="M2808" s="51">
        <f>(IF(F2808="SELL",IF(J2808="",0,I2808-J2808),IF(F2808="BUY",IF(J2808="",0,(J2808-I2808)))))*E2808</f>
        <v>1000</v>
      </c>
      <c r="N2808" s="2">
        <f t="shared" si="3701"/>
        <v>1.5</v>
      </c>
      <c r="O2808" s="2">
        <f t="shared" si="3705"/>
        <v>3000</v>
      </c>
    </row>
    <row r="2809" spans="1:15">
      <c r="A2809" s="4">
        <v>42740</v>
      </c>
      <c r="B2809" s="5" t="s">
        <v>28</v>
      </c>
      <c r="C2809" s="5" t="s">
        <v>47</v>
      </c>
      <c r="D2809" s="7">
        <v>320</v>
      </c>
      <c r="E2809" s="9">
        <v>1700</v>
      </c>
      <c r="F2809" s="5" t="s">
        <v>8</v>
      </c>
      <c r="G2809" s="5">
        <v>6.2</v>
      </c>
      <c r="H2809" s="5">
        <v>6.8</v>
      </c>
      <c r="I2809" s="5">
        <v>7.4</v>
      </c>
      <c r="J2809" s="5">
        <v>8</v>
      </c>
      <c r="K2809" s="1">
        <f t="shared" si="3702"/>
        <v>1019.9999999999994</v>
      </c>
      <c r="L2809" s="51">
        <f t="shared" si="3706"/>
        <v>1020.0000000000009</v>
      </c>
      <c r="M2809" s="51">
        <f>(IF(F2809="SELL",IF(J2809="",0,I2809-J2809),IF(F2809="BUY",IF(J2809="",0,(J2809-I2809)))))*E2809</f>
        <v>1019.9999999999994</v>
      </c>
      <c r="N2809" s="2">
        <f t="shared" si="3701"/>
        <v>1.8</v>
      </c>
      <c r="O2809" s="2">
        <f t="shared" si="3705"/>
        <v>3060</v>
      </c>
    </row>
    <row r="2810" spans="1:15">
      <c r="A2810" s="4">
        <v>42740</v>
      </c>
      <c r="B2810" s="5" t="s">
        <v>15</v>
      </c>
      <c r="C2810" s="5" t="s">
        <v>47</v>
      </c>
      <c r="D2810" s="7">
        <v>400</v>
      </c>
      <c r="E2810" s="9">
        <v>2000</v>
      </c>
      <c r="F2810" s="5" t="s">
        <v>8</v>
      </c>
      <c r="G2810" s="5">
        <v>3.7</v>
      </c>
      <c r="H2810" s="5">
        <v>4.2</v>
      </c>
      <c r="I2810" s="5">
        <v>0</v>
      </c>
      <c r="J2810" s="5">
        <v>0</v>
      </c>
      <c r="K2810" s="1">
        <f t="shared" si="3702"/>
        <v>1000</v>
      </c>
      <c r="L2810" s="51">
        <v>0</v>
      </c>
      <c r="M2810" s="51">
        <v>0</v>
      </c>
      <c r="N2810" s="2">
        <f t="shared" si="3701"/>
        <v>0.5</v>
      </c>
      <c r="O2810" s="2">
        <f t="shared" si="3705"/>
        <v>1000</v>
      </c>
    </row>
    <row r="2811" spans="1:15">
      <c r="A2811" s="4">
        <v>42740</v>
      </c>
      <c r="B2811" s="5" t="s">
        <v>17</v>
      </c>
      <c r="C2811" s="5" t="s">
        <v>46</v>
      </c>
      <c r="D2811" s="7">
        <v>450</v>
      </c>
      <c r="E2811" s="9">
        <v>1200</v>
      </c>
      <c r="F2811" s="5" t="s">
        <v>8</v>
      </c>
      <c r="G2811" s="5">
        <v>12</v>
      </c>
      <c r="H2811" s="5">
        <v>12.8</v>
      </c>
      <c r="I2811" s="5">
        <v>13.6</v>
      </c>
      <c r="J2811" s="5">
        <v>0</v>
      </c>
      <c r="K2811" s="1">
        <f t="shared" si="3702"/>
        <v>960.00000000000091</v>
      </c>
      <c r="L2811" s="51">
        <f t="shared" ref="L2811:L2812" si="3707">(IF(F2811="SELL",IF(I2811="",0,H2811-I2811),IF(F2811="BUY",IF(I2811="",0,I2811-H2811))))*E2811</f>
        <v>959.99999999999875</v>
      </c>
      <c r="M2811" s="51">
        <v>0</v>
      </c>
      <c r="N2811" s="2">
        <f t="shared" si="3701"/>
        <v>1.5999999999999996</v>
      </c>
      <c r="O2811" s="2">
        <f t="shared" si="3705"/>
        <v>1919.9999999999995</v>
      </c>
    </row>
    <row r="2812" spans="1:15">
      <c r="A2812" s="4">
        <v>42739</v>
      </c>
      <c r="B2812" s="5" t="s">
        <v>26</v>
      </c>
      <c r="C2812" s="5" t="s">
        <v>46</v>
      </c>
      <c r="D2812" s="7">
        <v>390</v>
      </c>
      <c r="E2812" s="9">
        <v>2000</v>
      </c>
      <c r="F2812" s="5" t="s">
        <v>8</v>
      </c>
      <c r="G2812" s="5">
        <v>5.75</v>
      </c>
      <c r="H2812" s="5">
        <v>6.25</v>
      </c>
      <c r="I2812" s="5">
        <v>6.75</v>
      </c>
      <c r="J2812" s="5">
        <v>7.25</v>
      </c>
      <c r="K2812" s="1">
        <f t="shared" si="3702"/>
        <v>1000</v>
      </c>
      <c r="L2812" s="51">
        <f t="shared" si="3707"/>
        <v>1000</v>
      </c>
      <c r="M2812" s="51">
        <f>(IF(F2812="SELL",IF(J2812="",0,I2812-J2812),IF(F2812="BUY",IF(J2812="",0,(J2812-I2812)))))*E2812</f>
        <v>1000</v>
      </c>
      <c r="N2812" s="2">
        <f t="shared" si="3701"/>
        <v>1.5</v>
      </c>
      <c r="O2812" s="2">
        <f t="shared" si="3705"/>
        <v>3000</v>
      </c>
    </row>
    <row r="2813" spans="1:15">
      <c r="A2813" s="4">
        <v>42739</v>
      </c>
      <c r="B2813" s="5" t="s">
        <v>38</v>
      </c>
      <c r="C2813" s="5" t="s">
        <v>47</v>
      </c>
      <c r="D2813" s="7">
        <v>5600</v>
      </c>
      <c r="E2813" s="9">
        <v>150</v>
      </c>
      <c r="F2813" s="5" t="s">
        <v>8</v>
      </c>
      <c r="G2813" s="5">
        <v>93</v>
      </c>
      <c r="H2813" s="5">
        <v>100</v>
      </c>
      <c r="I2813" s="5">
        <v>0</v>
      </c>
      <c r="J2813" s="5">
        <v>0</v>
      </c>
      <c r="K2813" s="1">
        <f t="shared" si="3702"/>
        <v>1050</v>
      </c>
      <c r="L2813" s="51">
        <v>0</v>
      </c>
      <c r="M2813" s="51">
        <v>0</v>
      </c>
      <c r="N2813" s="2">
        <f t="shared" si="3701"/>
        <v>7</v>
      </c>
      <c r="O2813" s="2">
        <f t="shared" si="3705"/>
        <v>1050</v>
      </c>
    </row>
    <row r="2814" spans="1:15">
      <c r="A2814" s="4">
        <v>42738</v>
      </c>
      <c r="B2814" s="5" t="s">
        <v>39</v>
      </c>
      <c r="C2814" s="5" t="s">
        <v>47</v>
      </c>
      <c r="D2814" s="7">
        <v>1120</v>
      </c>
      <c r="E2814" s="9">
        <v>500</v>
      </c>
      <c r="F2814" s="5" t="s">
        <v>8</v>
      </c>
      <c r="G2814" s="5">
        <v>12.5</v>
      </c>
      <c r="H2814" s="5">
        <v>13.85</v>
      </c>
      <c r="I2814" s="5">
        <v>0</v>
      </c>
      <c r="J2814" s="5">
        <v>0</v>
      </c>
      <c r="K2814" s="1">
        <f t="shared" si="3702"/>
        <v>674.99999999999977</v>
      </c>
      <c r="L2814" s="51">
        <v>0</v>
      </c>
      <c r="M2814" s="51">
        <v>0</v>
      </c>
      <c r="N2814" s="2">
        <f t="shared" si="3701"/>
        <v>1.3499999999999996</v>
      </c>
      <c r="O2814" s="2">
        <f t="shared" si="3705"/>
        <v>674.99999999999977</v>
      </c>
    </row>
    <row r="2815" spans="1:15">
      <c r="A2815" s="4">
        <v>42738</v>
      </c>
      <c r="B2815" s="5" t="s">
        <v>24</v>
      </c>
      <c r="C2815" s="5" t="s">
        <v>47</v>
      </c>
      <c r="D2815" s="7">
        <v>500</v>
      </c>
      <c r="E2815" s="9">
        <v>1500</v>
      </c>
      <c r="F2815" s="5" t="s">
        <v>8</v>
      </c>
      <c r="G2815" s="5">
        <v>12.4</v>
      </c>
      <c r="H2815" s="5">
        <v>10.9</v>
      </c>
      <c r="I2815" s="5">
        <v>0</v>
      </c>
      <c r="J2815" s="5">
        <v>0</v>
      </c>
      <c r="K2815" s="1">
        <f t="shared" si="3702"/>
        <v>-2250</v>
      </c>
      <c r="L2815" s="51">
        <v>0</v>
      </c>
      <c r="M2815" s="51">
        <v>0</v>
      </c>
      <c r="N2815" s="2">
        <f t="shared" si="3701"/>
        <v>-1.5</v>
      </c>
      <c r="O2815" s="2">
        <f t="shared" si="3705"/>
        <v>-2250</v>
      </c>
    </row>
    <row r="2816" spans="1:15">
      <c r="A2816" s="4">
        <v>42738</v>
      </c>
      <c r="B2816" s="5" t="s">
        <v>38</v>
      </c>
      <c r="C2816" s="5" t="s">
        <v>47</v>
      </c>
      <c r="D2816" s="7">
        <v>5600</v>
      </c>
      <c r="E2816" s="9">
        <v>150</v>
      </c>
      <c r="F2816" s="5" t="s">
        <v>8</v>
      </c>
      <c r="G2816" s="5">
        <v>93</v>
      </c>
      <c r="H2816" s="5">
        <v>100</v>
      </c>
      <c r="I2816" s="5">
        <v>0</v>
      </c>
      <c r="J2816" s="5">
        <v>0</v>
      </c>
      <c r="K2816" s="1">
        <f t="shared" si="3702"/>
        <v>1050</v>
      </c>
      <c r="L2816" s="51">
        <v>0</v>
      </c>
      <c r="M2816" s="51">
        <v>0</v>
      </c>
      <c r="N2816" s="2">
        <f t="shared" si="3701"/>
        <v>7</v>
      </c>
      <c r="O2816" s="2">
        <f t="shared" si="3705"/>
        <v>1050</v>
      </c>
    </row>
    <row r="2817" spans="1:15">
      <c r="A2817" s="4">
        <v>42738</v>
      </c>
      <c r="B2817" s="6" t="s">
        <v>39</v>
      </c>
      <c r="C2817" s="6" t="s">
        <v>47</v>
      </c>
      <c r="D2817" s="7">
        <v>1120</v>
      </c>
      <c r="E2817" s="9">
        <v>500</v>
      </c>
      <c r="F2817" s="6" t="s">
        <v>8</v>
      </c>
      <c r="G2817" s="5">
        <v>12.5</v>
      </c>
      <c r="H2817" s="6">
        <v>13.85</v>
      </c>
      <c r="I2817" s="5">
        <v>0</v>
      </c>
      <c r="J2817" s="8">
        <v>0</v>
      </c>
      <c r="K2817" s="1">
        <f t="shared" si="3702"/>
        <v>674.99999999999977</v>
      </c>
      <c r="L2817" s="51">
        <v>0</v>
      </c>
      <c r="M2817" s="51">
        <v>0</v>
      </c>
      <c r="N2817" s="2">
        <f t="shared" si="3701"/>
        <v>1.3499999999999996</v>
      </c>
      <c r="O2817" s="2">
        <f t="shared" si="3705"/>
        <v>674.99999999999977</v>
      </c>
    </row>
    <row r="2818" spans="1:15">
      <c r="A2818" s="4">
        <v>42738</v>
      </c>
      <c r="B2818" s="6" t="s">
        <v>26</v>
      </c>
      <c r="C2818" s="6" t="s">
        <v>46</v>
      </c>
      <c r="D2818" s="7">
        <v>390</v>
      </c>
      <c r="E2818" s="9">
        <v>2000</v>
      </c>
      <c r="F2818" s="6" t="s">
        <v>8</v>
      </c>
      <c r="G2818" s="5">
        <v>6.8</v>
      </c>
      <c r="H2818" s="5">
        <v>7.3</v>
      </c>
      <c r="I2818" s="5">
        <v>0</v>
      </c>
      <c r="J2818" s="8">
        <v>0</v>
      </c>
      <c r="K2818" s="1">
        <f t="shared" si="3702"/>
        <v>1000</v>
      </c>
      <c r="L2818" s="51">
        <v>0</v>
      </c>
      <c r="M2818" s="51">
        <v>0</v>
      </c>
      <c r="N2818" s="2">
        <f t="shared" si="3701"/>
        <v>0.5</v>
      </c>
      <c r="O2818" s="2">
        <f t="shared" si="3705"/>
        <v>1000</v>
      </c>
    </row>
    <row r="2819" spans="1:15">
      <c r="A2819" s="4">
        <v>42371</v>
      </c>
      <c r="B2819" s="6" t="s">
        <v>21</v>
      </c>
      <c r="C2819" s="22" t="s">
        <v>46</v>
      </c>
      <c r="D2819" s="7">
        <v>240</v>
      </c>
      <c r="E2819" s="9">
        <v>3000</v>
      </c>
      <c r="F2819" s="3" t="s">
        <v>8</v>
      </c>
      <c r="G2819" s="5">
        <v>4</v>
      </c>
      <c r="H2819" s="5">
        <v>4.5</v>
      </c>
      <c r="I2819" s="5">
        <v>5</v>
      </c>
      <c r="J2819" s="8">
        <v>5.5</v>
      </c>
      <c r="K2819" s="1">
        <f t="shared" si="3702"/>
        <v>1500</v>
      </c>
      <c r="L2819" s="51">
        <f t="shared" ref="L2819:L2827" si="3708">(IF(F2819="SELL",IF(I2819="",0,H2819-I2819),IF(F2819="BUY",IF(I2819="",0,I2819-H2819))))*E2819</f>
        <v>1500</v>
      </c>
      <c r="M2819" s="51">
        <f>(IF(F2819="SELL",IF(J2819="",0,I2819-J2819),IF(F2819="BUY",IF(J2819="",0,(J2819-I2819)))))*E2819</f>
        <v>1500</v>
      </c>
      <c r="N2819" s="2">
        <f t="shared" si="3701"/>
        <v>1.5</v>
      </c>
      <c r="O2819" s="2">
        <f t="shared" si="3705"/>
        <v>4500</v>
      </c>
    </row>
    <row r="2820" spans="1:15">
      <c r="A2820" s="4">
        <v>42371</v>
      </c>
      <c r="B2820" s="6" t="s">
        <v>21</v>
      </c>
      <c r="C2820" s="22" t="s">
        <v>47</v>
      </c>
      <c r="D2820" s="7">
        <v>255</v>
      </c>
      <c r="E2820" s="9">
        <v>3000</v>
      </c>
      <c r="F2820" s="3" t="s">
        <v>8</v>
      </c>
      <c r="G2820" s="5">
        <v>6</v>
      </c>
      <c r="H2820" s="5">
        <v>6.5</v>
      </c>
      <c r="I2820" s="5">
        <v>0</v>
      </c>
      <c r="J2820" s="8">
        <v>0</v>
      </c>
      <c r="K2820" s="1">
        <f t="shared" si="3702"/>
        <v>1500</v>
      </c>
      <c r="L2820" s="51">
        <v>0</v>
      </c>
      <c r="M2820" s="51">
        <v>0</v>
      </c>
      <c r="N2820" s="2">
        <f t="shared" si="3701"/>
        <v>0.5</v>
      </c>
      <c r="O2820" s="2">
        <f t="shared" si="3705"/>
        <v>1500</v>
      </c>
    </row>
    <row r="2821" spans="1:15">
      <c r="A2821" s="4">
        <v>42734</v>
      </c>
      <c r="B2821" s="6" t="s">
        <v>30</v>
      </c>
      <c r="C2821" s="22" t="s">
        <v>47</v>
      </c>
      <c r="D2821" s="7">
        <v>260</v>
      </c>
      <c r="E2821" s="9">
        <v>2500</v>
      </c>
      <c r="F2821" s="3" t="s">
        <v>8</v>
      </c>
      <c r="G2821" s="5">
        <v>5.5</v>
      </c>
      <c r="H2821" s="5">
        <v>6</v>
      </c>
      <c r="I2821" s="5">
        <v>6.5</v>
      </c>
      <c r="J2821" s="8">
        <v>0</v>
      </c>
      <c r="K2821" s="1">
        <f t="shared" si="3702"/>
        <v>1250</v>
      </c>
      <c r="L2821" s="51">
        <f t="shared" si="3708"/>
        <v>1250</v>
      </c>
      <c r="M2821" s="51">
        <v>0</v>
      </c>
      <c r="N2821" s="2">
        <f t="shared" si="3701"/>
        <v>1</v>
      </c>
      <c r="O2821" s="2">
        <f t="shared" si="3705"/>
        <v>2500</v>
      </c>
    </row>
    <row r="2822" spans="1:15">
      <c r="A2822" s="4">
        <v>42734</v>
      </c>
      <c r="B2822" s="6" t="s">
        <v>17</v>
      </c>
      <c r="C2822" s="22" t="s">
        <v>47</v>
      </c>
      <c r="D2822" s="7">
        <v>440</v>
      </c>
      <c r="E2822" s="9">
        <v>1200</v>
      </c>
      <c r="F2822" s="3" t="s">
        <v>8</v>
      </c>
      <c r="G2822" s="5">
        <v>4.5</v>
      </c>
      <c r="H2822" s="5">
        <v>5.5</v>
      </c>
      <c r="I2822" s="5">
        <v>6.5</v>
      </c>
      <c r="J2822" s="8">
        <v>0</v>
      </c>
      <c r="K2822" s="1">
        <f t="shared" si="3702"/>
        <v>1200</v>
      </c>
      <c r="L2822" s="51">
        <f t="shared" si="3708"/>
        <v>1200</v>
      </c>
      <c r="M2822" s="51">
        <v>0</v>
      </c>
      <c r="N2822" s="2">
        <f t="shared" si="3701"/>
        <v>2</v>
      </c>
      <c r="O2822" s="2">
        <f t="shared" si="3705"/>
        <v>2400</v>
      </c>
    </row>
    <row r="2823" spans="1:15">
      <c r="A2823" s="4">
        <v>42732</v>
      </c>
      <c r="B2823" s="6" t="s">
        <v>33</v>
      </c>
      <c r="C2823" s="22" t="s">
        <v>47</v>
      </c>
      <c r="D2823" s="7">
        <v>420</v>
      </c>
      <c r="E2823" s="9">
        <v>1500</v>
      </c>
      <c r="F2823" s="3" t="s">
        <v>8</v>
      </c>
      <c r="G2823" s="5">
        <v>6</v>
      </c>
      <c r="H2823" s="5">
        <v>7</v>
      </c>
      <c r="I2823" s="5">
        <v>8</v>
      </c>
      <c r="J2823" s="8">
        <v>0</v>
      </c>
      <c r="K2823" s="1">
        <f t="shared" si="3702"/>
        <v>1500</v>
      </c>
      <c r="L2823" s="51">
        <f t="shared" si="3708"/>
        <v>1500</v>
      </c>
      <c r="M2823" s="51">
        <v>0</v>
      </c>
      <c r="N2823" s="2">
        <f t="shared" si="3701"/>
        <v>2</v>
      </c>
      <c r="O2823" s="2">
        <f t="shared" si="3705"/>
        <v>3000</v>
      </c>
    </row>
    <row r="2824" spans="1:15">
      <c r="A2824" s="4">
        <v>42732</v>
      </c>
      <c r="B2824" s="6" t="s">
        <v>23</v>
      </c>
      <c r="C2824" s="22" t="s">
        <v>46</v>
      </c>
      <c r="D2824" s="7">
        <v>440</v>
      </c>
      <c r="E2824" s="9">
        <v>1300</v>
      </c>
      <c r="F2824" s="3" t="s">
        <v>8</v>
      </c>
      <c r="G2824" s="5">
        <v>8</v>
      </c>
      <c r="H2824" s="5">
        <v>9</v>
      </c>
      <c r="I2824" s="5">
        <v>0</v>
      </c>
      <c r="J2824" s="8">
        <v>0</v>
      </c>
      <c r="K2824" s="1">
        <f t="shared" si="3702"/>
        <v>1300</v>
      </c>
      <c r="L2824" s="51">
        <v>0</v>
      </c>
      <c r="M2824" s="51">
        <v>0</v>
      </c>
      <c r="N2824" s="2">
        <f t="shared" si="3701"/>
        <v>1</v>
      </c>
      <c r="O2824" s="2">
        <f t="shared" si="3705"/>
        <v>1300</v>
      </c>
    </row>
    <row r="2825" spans="1:15">
      <c r="A2825" s="4">
        <v>42731</v>
      </c>
      <c r="B2825" s="6" t="s">
        <v>23</v>
      </c>
      <c r="C2825" s="22" t="s">
        <v>46</v>
      </c>
      <c r="D2825" s="7">
        <v>480</v>
      </c>
      <c r="E2825" s="9">
        <v>1300</v>
      </c>
      <c r="F2825" s="3" t="s">
        <v>8</v>
      </c>
      <c r="G2825" s="5">
        <v>4</v>
      </c>
      <c r="H2825" s="5">
        <v>5</v>
      </c>
      <c r="I2825" s="5">
        <v>6</v>
      </c>
      <c r="J2825" s="8">
        <v>7</v>
      </c>
      <c r="K2825" s="1">
        <f t="shared" si="3702"/>
        <v>1300</v>
      </c>
      <c r="L2825" s="51">
        <f t="shared" si="3708"/>
        <v>1300</v>
      </c>
      <c r="M2825" s="51">
        <f>(IF(F2825="SELL",IF(J2825="",0,I2825-J2825),IF(F2825="BUY",IF(J2825="",0,(J2825-I2825)))))*E2825</f>
        <v>1300</v>
      </c>
      <c r="N2825" s="2">
        <f t="shared" si="3701"/>
        <v>3</v>
      </c>
      <c r="O2825" s="2">
        <f t="shared" si="3705"/>
        <v>3900</v>
      </c>
    </row>
    <row r="2826" spans="1:15">
      <c r="A2826" s="4">
        <v>42730</v>
      </c>
      <c r="B2826" s="6" t="s">
        <v>17</v>
      </c>
      <c r="C2826" s="22" t="s">
        <v>46</v>
      </c>
      <c r="D2826" s="7">
        <v>430</v>
      </c>
      <c r="E2826" s="9">
        <v>1200</v>
      </c>
      <c r="F2826" s="3" t="s">
        <v>8</v>
      </c>
      <c r="G2826" s="5">
        <v>5.5</v>
      </c>
      <c r="H2826" s="5">
        <v>6.5</v>
      </c>
      <c r="I2826" s="5">
        <v>0</v>
      </c>
      <c r="J2826" s="8">
        <v>0</v>
      </c>
      <c r="K2826" s="1">
        <f t="shared" si="3702"/>
        <v>1200</v>
      </c>
      <c r="L2826" s="51">
        <v>0</v>
      </c>
      <c r="M2826" s="51">
        <v>0</v>
      </c>
      <c r="N2826" s="2">
        <f t="shared" si="3701"/>
        <v>1</v>
      </c>
      <c r="O2826" s="2">
        <f t="shared" si="3705"/>
        <v>1200</v>
      </c>
    </row>
    <row r="2827" spans="1:15">
      <c r="A2827" s="4">
        <v>42730</v>
      </c>
      <c r="B2827" s="6" t="s">
        <v>26</v>
      </c>
      <c r="C2827" s="22" t="s">
        <v>46</v>
      </c>
      <c r="D2827" s="7">
        <v>390</v>
      </c>
      <c r="E2827" s="9">
        <v>2000</v>
      </c>
      <c r="F2827" s="3" t="s">
        <v>8</v>
      </c>
      <c r="G2827" s="5">
        <v>6</v>
      </c>
      <c r="H2827" s="5">
        <v>6.5</v>
      </c>
      <c r="I2827" s="5">
        <v>7</v>
      </c>
      <c r="J2827" s="8">
        <v>0</v>
      </c>
      <c r="K2827" s="1">
        <f t="shared" si="3702"/>
        <v>1000</v>
      </c>
      <c r="L2827" s="51">
        <f t="shared" si="3708"/>
        <v>1000</v>
      </c>
      <c r="M2827" s="51">
        <v>0</v>
      </c>
      <c r="N2827" s="2">
        <f t="shared" si="3701"/>
        <v>1</v>
      </c>
      <c r="O2827" s="2">
        <f t="shared" si="3705"/>
        <v>2000</v>
      </c>
    </row>
    <row r="2828" spans="1:15">
      <c r="A2828" s="4">
        <v>42727</v>
      </c>
      <c r="B2828" s="6" t="s">
        <v>38</v>
      </c>
      <c r="C2828" s="22" t="s">
        <v>47</v>
      </c>
      <c r="D2828" s="7">
        <v>5200</v>
      </c>
      <c r="E2828" s="9">
        <v>150</v>
      </c>
      <c r="F2828" s="3" t="s">
        <v>8</v>
      </c>
      <c r="G2828" s="5">
        <v>40</v>
      </c>
      <c r="H2828" s="5">
        <v>30</v>
      </c>
      <c r="I2828" s="5">
        <v>0</v>
      </c>
      <c r="J2828" s="8">
        <v>0</v>
      </c>
      <c r="K2828" s="1">
        <f t="shared" si="3702"/>
        <v>-1500</v>
      </c>
      <c r="L2828" s="51">
        <v>0</v>
      </c>
      <c r="M2828" s="51">
        <v>0</v>
      </c>
      <c r="N2828" s="2">
        <f t="shared" ref="N2828:N2891" si="3709">(L2828+K2828+M2828)/E2828</f>
        <v>-10</v>
      </c>
      <c r="O2828" s="2">
        <f t="shared" si="3705"/>
        <v>-1500</v>
      </c>
    </row>
    <row r="2829" spans="1:15">
      <c r="A2829" s="4">
        <v>42726</v>
      </c>
      <c r="B2829" s="6" t="s">
        <v>9</v>
      </c>
      <c r="C2829" s="22" t="s">
        <v>46</v>
      </c>
      <c r="D2829" s="7">
        <v>920</v>
      </c>
      <c r="E2829" s="9">
        <v>600</v>
      </c>
      <c r="F2829" s="3" t="s">
        <v>8</v>
      </c>
      <c r="G2829" s="5">
        <v>16.5</v>
      </c>
      <c r="H2829" s="5">
        <v>18.5</v>
      </c>
      <c r="I2829" s="5">
        <v>0</v>
      </c>
      <c r="J2829" s="8">
        <v>0</v>
      </c>
      <c r="K2829" s="1">
        <f t="shared" si="3702"/>
        <v>1200</v>
      </c>
      <c r="L2829" s="51">
        <v>0</v>
      </c>
      <c r="M2829" s="51">
        <v>0</v>
      </c>
      <c r="N2829" s="2">
        <f t="shared" si="3709"/>
        <v>2</v>
      </c>
      <c r="O2829" s="2">
        <f t="shared" si="3705"/>
        <v>1200</v>
      </c>
    </row>
    <row r="2830" spans="1:15">
      <c r="A2830" s="4">
        <v>42726</v>
      </c>
      <c r="B2830" s="6" t="s">
        <v>26</v>
      </c>
      <c r="C2830" s="22" t="s">
        <v>46</v>
      </c>
      <c r="D2830" s="7">
        <v>400</v>
      </c>
      <c r="E2830" s="9">
        <v>2000</v>
      </c>
      <c r="F2830" s="3" t="s">
        <v>8</v>
      </c>
      <c r="G2830" s="5">
        <v>4.9000000000000004</v>
      </c>
      <c r="H2830" s="5">
        <v>5.4</v>
      </c>
      <c r="I2830" s="5">
        <v>5.9</v>
      </c>
      <c r="J2830" s="8">
        <v>6.4</v>
      </c>
      <c r="K2830" s="1">
        <f t="shared" si="3702"/>
        <v>1000</v>
      </c>
      <c r="L2830" s="51">
        <f t="shared" ref="L2830" si="3710">(IF(F2830="SELL",IF(I2830="",0,H2830-I2830),IF(F2830="BUY",IF(I2830="",0,I2830-H2830))))*E2830</f>
        <v>1000</v>
      </c>
      <c r="M2830" s="51">
        <f>(IF(F2830="SELL",IF(J2830="",0,I2830-J2830),IF(F2830="BUY",IF(J2830="",0,(J2830-I2830)))))*E2830</f>
        <v>1000</v>
      </c>
      <c r="N2830" s="2">
        <f t="shared" si="3709"/>
        <v>1.5</v>
      </c>
      <c r="O2830" s="2">
        <f t="shared" si="3705"/>
        <v>3000</v>
      </c>
    </row>
    <row r="2831" spans="1:15">
      <c r="A2831" s="4">
        <v>42726</v>
      </c>
      <c r="B2831" s="6" t="s">
        <v>33</v>
      </c>
      <c r="C2831" s="22" t="s">
        <v>47</v>
      </c>
      <c r="D2831" s="7">
        <v>460</v>
      </c>
      <c r="E2831" s="9">
        <v>1500</v>
      </c>
      <c r="F2831" s="3" t="s">
        <v>8</v>
      </c>
      <c r="G2831" s="5">
        <v>7</v>
      </c>
      <c r="H2831" s="5">
        <v>8</v>
      </c>
      <c r="I2831" s="5">
        <v>0</v>
      </c>
      <c r="J2831" s="8">
        <v>0</v>
      </c>
      <c r="K2831" s="1">
        <f t="shared" si="3702"/>
        <v>1500</v>
      </c>
      <c r="L2831" s="51">
        <v>0</v>
      </c>
      <c r="M2831" s="51">
        <v>0</v>
      </c>
      <c r="N2831" s="2">
        <f t="shared" si="3709"/>
        <v>1</v>
      </c>
      <c r="O2831" s="2">
        <f t="shared" si="3705"/>
        <v>1500</v>
      </c>
    </row>
    <row r="2832" spans="1:15">
      <c r="A2832" s="4">
        <v>42725</v>
      </c>
      <c r="B2832" s="6" t="s">
        <v>17</v>
      </c>
      <c r="C2832" s="22" t="s">
        <v>46</v>
      </c>
      <c r="D2832" s="7">
        <v>460</v>
      </c>
      <c r="E2832" s="9">
        <v>1200</v>
      </c>
      <c r="F2832" s="3" t="s">
        <v>8</v>
      </c>
      <c r="G2832" s="5">
        <v>5</v>
      </c>
      <c r="H2832" s="5">
        <v>6</v>
      </c>
      <c r="I2832" s="5">
        <v>0</v>
      </c>
      <c r="J2832" s="8">
        <v>0</v>
      </c>
      <c r="K2832" s="1">
        <f t="shared" si="3702"/>
        <v>1200</v>
      </c>
      <c r="L2832" s="51">
        <v>0</v>
      </c>
      <c r="M2832" s="51">
        <v>0</v>
      </c>
      <c r="N2832" s="2">
        <f t="shared" si="3709"/>
        <v>1</v>
      </c>
      <c r="O2832" s="2">
        <f t="shared" si="3705"/>
        <v>1200</v>
      </c>
    </row>
    <row r="2833" spans="1:15">
      <c r="A2833" s="4">
        <v>42725</v>
      </c>
      <c r="B2833" s="6" t="s">
        <v>20</v>
      </c>
      <c r="C2833" s="22" t="s">
        <v>47</v>
      </c>
      <c r="D2833" s="7">
        <v>1020</v>
      </c>
      <c r="E2833" s="9">
        <v>500</v>
      </c>
      <c r="F2833" s="3" t="s">
        <v>8</v>
      </c>
      <c r="G2833" s="5">
        <v>12</v>
      </c>
      <c r="H2833" s="5">
        <v>6</v>
      </c>
      <c r="I2833" s="5">
        <v>0</v>
      </c>
      <c r="J2833" s="8">
        <v>0</v>
      </c>
      <c r="K2833" s="1">
        <f t="shared" si="3702"/>
        <v>-3000</v>
      </c>
      <c r="L2833" s="51">
        <v>0</v>
      </c>
      <c r="M2833" s="51">
        <v>0</v>
      </c>
      <c r="N2833" s="2">
        <f t="shared" si="3709"/>
        <v>-6</v>
      </c>
      <c r="O2833" s="2">
        <f t="shared" si="3705"/>
        <v>-3000</v>
      </c>
    </row>
    <row r="2834" spans="1:15">
      <c r="A2834" s="4">
        <v>42725</v>
      </c>
      <c r="B2834" s="6" t="s">
        <v>29</v>
      </c>
      <c r="C2834" s="22" t="s">
        <v>47</v>
      </c>
      <c r="D2834" s="7">
        <v>200</v>
      </c>
      <c r="E2834" s="9">
        <v>2500</v>
      </c>
      <c r="F2834" s="3" t="s">
        <v>8</v>
      </c>
      <c r="G2834" s="5">
        <v>3.5</v>
      </c>
      <c r="H2834" s="5">
        <v>2.5</v>
      </c>
      <c r="I2834" s="5">
        <v>0</v>
      </c>
      <c r="J2834" s="8">
        <v>0</v>
      </c>
      <c r="K2834" s="1">
        <f t="shared" si="3702"/>
        <v>-2500</v>
      </c>
      <c r="L2834" s="51">
        <v>0</v>
      </c>
      <c r="M2834" s="51">
        <v>0</v>
      </c>
      <c r="N2834" s="2">
        <f t="shared" si="3709"/>
        <v>-1</v>
      </c>
      <c r="O2834" s="2">
        <f t="shared" si="3705"/>
        <v>-2500</v>
      </c>
    </row>
    <row r="2835" spans="1:15">
      <c r="A2835" s="4">
        <v>42724</v>
      </c>
      <c r="B2835" s="6" t="s">
        <v>23</v>
      </c>
      <c r="C2835" s="22" t="s">
        <v>47</v>
      </c>
      <c r="D2835" s="7">
        <v>480</v>
      </c>
      <c r="E2835" s="9">
        <v>1300</v>
      </c>
      <c r="F2835" s="3" t="s">
        <v>8</v>
      </c>
      <c r="G2835" s="5">
        <v>4</v>
      </c>
      <c r="H2835" s="5">
        <v>5</v>
      </c>
      <c r="I2835" s="5">
        <v>0</v>
      </c>
      <c r="J2835" s="8">
        <v>0</v>
      </c>
      <c r="K2835" s="1">
        <f t="shared" si="3702"/>
        <v>1300</v>
      </c>
      <c r="L2835" s="51">
        <v>0</v>
      </c>
      <c r="M2835" s="51">
        <v>0</v>
      </c>
      <c r="N2835" s="2">
        <f t="shared" si="3709"/>
        <v>1</v>
      </c>
      <c r="O2835" s="2">
        <f t="shared" si="3705"/>
        <v>1300</v>
      </c>
    </row>
    <row r="2836" spans="1:15">
      <c r="A2836" s="4">
        <v>42724</v>
      </c>
      <c r="B2836" s="6" t="s">
        <v>17</v>
      </c>
      <c r="C2836" s="22" t="s">
        <v>46</v>
      </c>
      <c r="D2836" s="7">
        <v>460</v>
      </c>
      <c r="E2836" s="9">
        <v>1200</v>
      </c>
      <c r="F2836" s="3" t="s">
        <v>8</v>
      </c>
      <c r="G2836" s="5">
        <v>6</v>
      </c>
      <c r="H2836" s="5">
        <v>4</v>
      </c>
      <c r="I2836" s="5">
        <v>0</v>
      </c>
      <c r="J2836" s="8">
        <v>0</v>
      </c>
      <c r="K2836" s="1">
        <f t="shared" si="3702"/>
        <v>-2400</v>
      </c>
      <c r="L2836" s="51">
        <v>0</v>
      </c>
      <c r="M2836" s="51">
        <v>0</v>
      </c>
      <c r="N2836" s="2">
        <f t="shared" si="3709"/>
        <v>-2</v>
      </c>
      <c r="O2836" s="2">
        <f t="shared" si="3705"/>
        <v>-2400</v>
      </c>
    </row>
    <row r="2837" spans="1:15">
      <c r="A2837" s="4">
        <v>42724</v>
      </c>
      <c r="B2837" s="6" t="s">
        <v>24</v>
      </c>
      <c r="C2837" s="22" t="s">
        <v>48</v>
      </c>
      <c r="D2837" s="7">
        <v>480</v>
      </c>
      <c r="E2837" s="9">
        <v>1500</v>
      </c>
      <c r="F2837" s="3" t="s">
        <v>8</v>
      </c>
      <c r="G2837" s="5">
        <v>6.5</v>
      </c>
      <c r="H2837" s="5">
        <v>7.3</v>
      </c>
      <c r="I2837" s="5">
        <v>8.1</v>
      </c>
      <c r="J2837" s="8">
        <v>8.9</v>
      </c>
      <c r="K2837" s="1">
        <f t="shared" si="3702"/>
        <v>1199.9999999999998</v>
      </c>
      <c r="L2837" s="51">
        <f t="shared" ref="L2837:L2845" si="3711">(IF(F2837="SELL",IF(I2837="",0,H2837-I2837),IF(F2837="BUY",IF(I2837="",0,I2837-H2837))))*E2837</f>
        <v>1199.9999999999998</v>
      </c>
      <c r="M2837" s="51">
        <f>(IF(F2837="SELL",IF(J2837="",0,I2837-J2837),IF(F2837="BUY",IF(J2837="",0,(J2837-I2837)))))*E2837</f>
        <v>1200.0000000000011</v>
      </c>
      <c r="N2837" s="2">
        <f t="shared" si="3709"/>
        <v>2.4000000000000008</v>
      </c>
      <c r="O2837" s="2">
        <f t="shared" si="3705"/>
        <v>3600.0000000000014</v>
      </c>
    </row>
    <row r="2838" spans="1:15">
      <c r="A2838" s="4">
        <v>42723</v>
      </c>
      <c r="B2838" s="6" t="s">
        <v>21</v>
      </c>
      <c r="C2838" s="22" t="s">
        <v>47</v>
      </c>
      <c r="D2838" s="7">
        <v>260</v>
      </c>
      <c r="E2838" s="9">
        <v>3000</v>
      </c>
      <c r="F2838" s="3" t="s">
        <v>8</v>
      </c>
      <c r="G2838" s="5">
        <v>6.2</v>
      </c>
      <c r="H2838" s="5">
        <v>6.7</v>
      </c>
      <c r="I2838" s="5">
        <v>0</v>
      </c>
      <c r="J2838" s="8">
        <v>0</v>
      </c>
      <c r="K2838" s="1">
        <f t="shared" si="3702"/>
        <v>1500</v>
      </c>
      <c r="L2838" s="51">
        <v>0</v>
      </c>
      <c r="M2838" s="51">
        <v>0</v>
      </c>
      <c r="N2838" s="2">
        <f t="shared" si="3709"/>
        <v>0.5</v>
      </c>
      <c r="O2838" s="2">
        <f t="shared" si="3705"/>
        <v>1500</v>
      </c>
    </row>
    <row r="2839" spans="1:15">
      <c r="A2839" s="4">
        <v>42723</v>
      </c>
      <c r="B2839" s="6" t="s">
        <v>23</v>
      </c>
      <c r="C2839" s="22" t="s">
        <v>48</v>
      </c>
      <c r="D2839" s="7">
        <v>520</v>
      </c>
      <c r="E2839" s="9">
        <v>1300</v>
      </c>
      <c r="F2839" s="3" t="s">
        <v>8</v>
      </c>
      <c r="G2839" s="5">
        <v>5</v>
      </c>
      <c r="H2839" s="5">
        <v>6</v>
      </c>
      <c r="I2839" s="5">
        <v>7</v>
      </c>
      <c r="J2839" s="8">
        <v>8</v>
      </c>
      <c r="K2839" s="1">
        <f t="shared" si="3702"/>
        <v>1300</v>
      </c>
      <c r="L2839" s="51">
        <f t="shared" si="3711"/>
        <v>1300</v>
      </c>
      <c r="M2839" s="51">
        <f>(IF(F2839="SELL",IF(J2839="",0,I2839-J2839),IF(F2839="BUY",IF(J2839="",0,(J2839-I2839)))))*E2839</f>
        <v>1300</v>
      </c>
      <c r="N2839" s="2">
        <f t="shared" si="3709"/>
        <v>3</v>
      </c>
      <c r="O2839" s="2">
        <f t="shared" si="3705"/>
        <v>3900</v>
      </c>
    </row>
    <row r="2840" spans="1:15">
      <c r="A2840" s="4">
        <v>42723</v>
      </c>
      <c r="B2840" s="6" t="s">
        <v>30</v>
      </c>
      <c r="C2840" s="22" t="s">
        <v>46</v>
      </c>
      <c r="D2840" s="7">
        <v>260</v>
      </c>
      <c r="E2840" s="9">
        <v>2500</v>
      </c>
      <c r="F2840" s="3" t="s">
        <v>8</v>
      </c>
      <c r="G2840" s="5">
        <v>7</v>
      </c>
      <c r="H2840" s="5">
        <v>7.5</v>
      </c>
      <c r="I2840" s="5">
        <v>0</v>
      </c>
      <c r="J2840" s="8">
        <v>0</v>
      </c>
      <c r="K2840" s="1">
        <f t="shared" si="3702"/>
        <v>1250</v>
      </c>
      <c r="L2840" s="51">
        <v>0</v>
      </c>
      <c r="M2840" s="51">
        <f>(IF(F2840="SELL",IF(J2840="",0,I2840-J2840),IF(F2840="BUY",IF(J2840="",0,(J2840-I2840)))))*E2840</f>
        <v>0</v>
      </c>
      <c r="N2840" s="2">
        <f t="shared" si="3709"/>
        <v>0.5</v>
      </c>
      <c r="O2840" s="2">
        <f t="shared" si="3705"/>
        <v>1250</v>
      </c>
    </row>
    <row r="2841" spans="1:15">
      <c r="A2841" s="4">
        <v>42720</v>
      </c>
      <c r="B2841" s="6" t="s">
        <v>11</v>
      </c>
      <c r="C2841" s="22" t="s">
        <v>46</v>
      </c>
      <c r="D2841" s="7">
        <v>620</v>
      </c>
      <c r="E2841" s="9">
        <v>1000</v>
      </c>
      <c r="F2841" s="3" t="s">
        <v>8</v>
      </c>
      <c r="G2841" s="5">
        <v>6</v>
      </c>
      <c r="H2841" s="5">
        <v>7</v>
      </c>
      <c r="I2841" s="5">
        <v>8</v>
      </c>
      <c r="J2841" s="8">
        <v>9</v>
      </c>
      <c r="K2841" s="1">
        <f t="shared" si="3702"/>
        <v>1000</v>
      </c>
      <c r="L2841" s="51">
        <f t="shared" si="3711"/>
        <v>1000</v>
      </c>
      <c r="M2841" s="51">
        <f>(IF(F2841="SELL",IF(J2841="",0,I2841-J2841),IF(F2841="BUY",IF(J2841="",0,(J2841-I2841)))))*E2841</f>
        <v>1000</v>
      </c>
      <c r="N2841" s="2">
        <f t="shared" si="3709"/>
        <v>3</v>
      </c>
      <c r="O2841" s="2">
        <f t="shared" si="3705"/>
        <v>3000</v>
      </c>
    </row>
    <row r="2842" spans="1:15">
      <c r="A2842" s="4">
        <v>42720</v>
      </c>
      <c r="B2842" s="6" t="s">
        <v>17</v>
      </c>
      <c r="C2842" s="22" t="s">
        <v>46</v>
      </c>
      <c r="D2842" s="7">
        <v>450</v>
      </c>
      <c r="E2842" s="9">
        <v>1200</v>
      </c>
      <c r="F2842" s="3" t="s">
        <v>8</v>
      </c>
      <c r="G2842" s="5">
        <v>4</v>
      </c>
      <c r="H2842" s="5">
        <v>5</v>
      </c>
      <c r="I2842" s="5">
        <v>6</v>
      </c>
      <c r="J2842" s="8">
        <v>0</v>
      </c>
      <c r="K2842" s="1">
        <f t="shared" si="3702"/>
        <v>1200</v>
      </c>
      <c r="L2842" s="51">
        <f t="shared" si="3711"/>
        <v>1200</v>
      </c>
      <c r="M2842" s="51">
        <v>0</v>
      </c>
      <c r="N2842" s="2">
        <f t="shared" si="3709"/>
        <v>2</v>
      </c>
      <c r="O2842" s="2">
        <f t="shared" si="3705"/>
        <v>2400</v>
      </c>
    </row>
    <row r="2843" spans="1:15">
      <c r="A2843" s="4">
        <v>42719</v>
      </c>
      <c r="B2843" s="6" t="s">
        <v>21</v>
      </c>
      <c r="C2843" s="22" t="s">
        <v>46</v>
      </c>
      <c r="D2843" s="7">
        <v>255</v>
      </c>
      <c r="E2843" s="9">
        <v>3000</v>
      </c>
      <c r="F2843" s="3" t="s">
        <v>8</v>
      </c>
      <c r="G2843" s="5">
        <v>3</v>
      </c>
      <c r="H2843" s="5">
        <v>3.5</v>
      </c>
      <c r="I2843" s="5">
        <v>4</v>
      </c>
      <c r="J2843" s="8">
        <v>4.5</v>
      </c>
      <c r="K2843" s="1">
        <f t="shared" si="3702"/>
        <v>1500</v>
      </c>
      <c r="L2843" s="51">
        <f t="shared" si="3711"/>
        <v>1500</v>
      </c>
      <c r="M2843" s="51">
        <f>(IF(F2843="SELL",IF(J2843="",0,I2843-J2843),IF(F2843="BUY",IF(J2843="",0,(J2843-I2843)))))*E2843</f>
        <v>1500</v>
      </c>
      <c r="N2843" s="2">
        <f t="shared" si="3709"/>
        <v>1.5</v>
      </c>
      <c r="O2843" s="2">
        <f t="shared" si="3705"/>
        <v>4500</v>
      </c>
    </row>
    <row r="2844" spans="1:15">
      <c r="A2844" s="4">
        <v>42719</v>
      </c>
      <c r="B2844" s="6" t="s">
        <v>27</v>
      </c>
      <c r="C2844" s="22" t="s">
        <v>46</v>
      </c>
      <c r="D2844" s="7">
        <v>290</v>
      </c>
      <c r="E2844" s="9">
        <v>1700</v>
      </c>
      <c r="F2844" s="3" t="s">
        <v>8</v>
      </c>
      <c r="G2844" s="5">
        <v>3</v>
      </c>
      <c r="H2844" s="5">
        <v>4</v>
      </c>
      <c r="I2844" s="5">
        <v>0</v>
      </c>
      <c r="J2844" s="8">
        <v>0</v>
      </c>
      <c r="K2844" s="1">
        <f t="shared" si="3702"/>
        <v>1700</v>
      </c>
      <c r="L2844" s="51">
        <v>0</v>
      </c>
      <c r="M2844" s="51">
        <v>0</v>
      </c>
      <c r="N2844" s="2">
        <f t="shared" si="3709"/>
        <v>1</v>
      </c>
      <c r="O2844" s="2">
        <f t="shared" si="3705"/>
        <v>1700</v>
      </c>
    </row>
    <row r="2845" spans="1:15">
      <c r="A2845" s="4">
        <v>42718</v>
      </c>
      <c r="B2845" s="6" t="s">
        <v>37</v>
      </c>
      <c r="C2845" s="22" t="s">
        <v>46</v>
      </c>
      <c r="D2845" s="7">
        <v>2200</v>
      </c>
      <c r="E2845" s="9">
        <v>250</v>
      </c>
      <c r="F2845" s="3" t="s">
        <v>8</v>
      </c>
      <c r="G2845" s="5">
        <v>29.6</v>
      </c>
      <c r="H2845" s="5">
        <v>33.6</v>
      </c>
      <c r="I2845" s="5">
        <v>37.6</v>
      </c>
      <c r="J2845" s="8">
        <v>0</v>
      </c>
      <c r="K2845" s="1">
        <f t="shared" si="3702"/>
        <v>1000</v>
      </c>
      <c r="L2845" s="51">
        <f t="shared" si="3711"/>
        <v>1000</v>
      </c>
      <c r="M2845" s="51">
        <v>0</v>
      </c>
      <c r="N2845" s="2">
        <f t="shared" si="3709"/>
        <v>8</v>
      </c>
      <c r="O2845" s="2">
        <f t="shared" si="3705"/>
        <v>2000</v>
      </c>
    </row>
    <row r="2846" spans="1:15">
      <c r="A2846" s="4">
        <v>42718</v>
      </c>
      <c r="B2846" s="6" t="s">
        <v>26</v>
      </c>
      <c r="C2846" s="22" t="s">
        <v>46</v>
      </c>
      <c r="D2846" s="7">
        <v>400</v>
      </c>
      <c r="E2846" s="9">
        <v>2000</v>
      </c>
      <c r="F2846" s="3" t="s">
        <v>8</v>
      </c>
      <c r="G2846" s="5">
        <v>4</v>
      </c>
      <c r="H2846" s="5">
        <v>4.5</v>
      </c>
      <c r="I2846" s="5">
        <v>0</v>
      </c>
      <c r="J2846" s="8">
        <v>0</v>
      </c>
      <c r="K2846" s="1">
        <f t="shared" si="3702"/>
        <v>1000</v>
      </c>
      <c r="L2846" s="51">
        <v>0</v>
      </c>
      <c r="M2846" s="51">
        <v>0</v>
      </c>
      <c r="N2846" s="2">
        <f t="shared" si="3709"/>
        <v>0.5</v>
      </c>
      <c r="O2846" s="2">
        <f t="shared" si="3705"/>
        <v>1000</v>
      </c>
    </row>
    <row r="2847" spans="1:15">
      <c r="A2847" s="4">
        <v>42718</v>
      </c>
      <c r="B2847" s="6" t="s">
        <v>38</v>
      </c>
      <c r="C2847" s="22" t="s">
        <v>47</v>
      </c>
      <c r="D2847" s="7">
        <v>5200</v>
      </c>
      <c r="E2847" s="9">
        <v>150</v>
      </c>
      <c r="F2847" s="3" t="s">
        <v>8</v>
      </c>
      <c r="G2847" s="5">
        <v>115</v>
      </c>
      <c r="H2847" s="5">
        <v>122</v>
      </c>
      <c r="I2847" s="5">
        <v>0</v>
      </c>
      <c r="J2847" s="8">
        <v>0</v>
      </c>
      <c r="K2847" s="1">
        <f t="shared" si="3702"/>
        <v>1050</v>
      </c>
      <c r="L2847" s="51">
        <v>0</v>
      </c>
      <c r="M2847" s="51">
        <v>0</v>
      </c>
      <c r="N2847" s="2">
        <f t="shared" si="3709"/>
        <v>7</v>
      </c>
      <c r="O2847" s="2">
        <f t="shared" si="3705"/>
        <v>1050</v>
      </c>
    </row>
    <row r="2848" spans="1:15">
      <c r="A2848" s="4">
        <v>42717</v>
      </c>
      <c r="B2848" s="6" t="s">
        <v>26</v>
      </c>
      <c r="C2848" s="22" t="s">
        <v>46</v>
      </c>
      <c r="D2848" s="7">
        <v>400</v>
      </c>
      <c r="E2848" s="9">
        <v>2000</v>
      </c>
      <c r="F2848" s="3" t="s">
        <v>8</v>
      </c>
      <c r="G2848" s="5">
        <v>4.5</v>
      </c>
      <c r="H2848" s="5">
        <v>5.5</v>
      </c>
      <c r="I2848" s="5">
        <v>6.5</v>
      </c>
      <c r="J2848" s="8">
        <v>0</v>
      </c>
      <c r="K2848" s="1">
        <f t="shared" si="3702"/>
        <v>2000</v>
      </c>
      <c r="L2848" s="51">
        <f t="shared" ref="L2848:L2852" si="3712">(IF(F2848="SELL",IF(I2848="",0,H2848-I2848),IF(F2848="BUY",IF(I2848="",0,I2848-H2848))))*E2848</f>
        <v>2000</v>
      </c>
      <c r="M2848" s="51">
        <v>0</v>
      </c>
      <c r="N2848" s="2">
        <f t="shared" si="3709"/>
        <v>2</v>
      </c>
      <c r="O2848" s="2">
        <f t="shared" ref="O2848:O2911" si="3713">N2848*E2848</f>
        <v>4000</v>
      </c>
    </row>
    <row r="2849" spans="1:15">
      <c r="A2849" s="4">
        <v>42717</v>
      </c>
      <c r="B2849" s="6" t="s">
        <v>21</v>
      </c>
      <c r="C2849" s="22" t="s">
        <v>46</v>
      </c>
      <c r="D2849" s="7">
        <v>255</v>
      </c>
      <c r="E2849" s="9">
        <v>3000</v>
      </c>
      <c r="F2849" s="3" t="s">
        <v>8</v>
      </c>
      <c r="G2849" s="5">
        <v>3.7</v>
      </c>
      <c r="H2849" s="5">
        <v>4.5</v>
      </c>
      <c r="I2849" s="5">
        <v>0</v>
      </c>
      <c r="J2849" s="8">
        <v>0</v>
      </c>
      <c r="K2849" s="1">
        <f t="shared" si="3702"/>
        <v>2399.9999999999995</v>
      </c>
      <c r="L2849" s="51">
        <v>0</v>
      </c>
      <c r="M2849" s="51">
        <v>0</v>
      </c>
      <c r="N2849" s="2">
        <f t="shared" si="3709"/>
        <v>0.79999999999999982</v>
      </c>
      <c r="O2849" s="2">
        <f t="shared" si="3713"/>
        <v>2399.9999999999995</v>
      </c>
    </row>
    <row r="2850" spans="1:15">
      <c r="A2850" s="4">
        <v>42716</v>
      </c>
      <c r="B2850" s="6" t="s">
        <v>26</v>
      </c>
      <c r="C2850" s="22" t="s">
        <v>46</v>
      </c>
      <c r="D2850" s="7">
        <v>410</v>
      </c>
      <c r="E2850" s="9">
        <v>2000</v>
      </c>
      <c r="F2850" s="3" t="s">
        <v>8</v>
      </c>
      <c r="G2850" s="5">
        <v>5.5</v>
      </c>
      <c r="H2850" s="5">
        <v>6.5</v>
      </c>
      <c r="I2850" s="5">
        <v>7.5</v>
      </c>
      <c r="J2850" s="8">
        <v>0</v>
      </c>
      <c r="K2850" s="1">
        <f t="shared" si="3702"/>
        <v>2000</v>
      </c>
      <c r="L2850" s="51">
        <f t="shared" si="3712"/>
        <v>2000</v>
      </c>
      <c r="M2850" s="51">
        <v>0</v>
      </c>
      <c r="N2850" s="2">
        <f t="shared" si="3709"/>
        <v>2</v>
      </c>
      <c r="O2850" s="2">
        <f t="shared" si="3713"/>
        <v>4000</v>
      </c>
    </row>
    <row r="2851" spans="1:15">
      <c r="A2851" s="4">
        <v>42716</v>
      </c>
      <c r="B2851" s="6" t="s">
        <v>22</v>
      </c>
      <c r="C2851" s="22" t="s">
        <v>46</v>
      </c>
      <c r="D2851" s="7">
        <v>110</v>
      </c>
      <c r="E2851" s="9">
        <v>5000</v>
      </c>
      <c r="F2851" s="3" t="s">
        <v>8</v>
      </c>
      <c r="G2851" s="5">
        <v>2.7</v>
      </c>
      <c r="H2851" s="5">
        <v>3.3</v>
      </c>
      <c r="I2851" s="5">
        <v>3.9</v>
      </c>
      <c r="J2851" s="8">
        <v>0</v>
      </c>
      <c r="K2851" s="1">
        <f t="shared" si="3702"/>
        <v>2999.9999999999982</v>
      </c>
      <c r="L2851" s="51">
        <f t="shared" si="3712"/>
        <v>3000.0000000000005</v>
      </c>
      <c r="M2851" s="51">
        <v>0</v>
      </c>
      <c r="N2851" s="2">
        <f t="shared" si="3709"/>
        <v>1.1999999999999997</v>
      </c>
      <c r="O2851" s="2">
        <f t="shared" si="3713"/>
        <v>5999.9999999999991</v>
      </c>
    </row>
    <row r="2852" spans="1:15">
      <c r="A2852" s="4">
        <v>42716</v>
      </c>
      <c r="B2852" s="6" t="s">
        <v>26</v>
      </c>
      <c r="C2852" s="22" t="s">
        <v>46</v>
      </c>
      <c r="D2852" s="7">
        <v>410</v>
      </c>
      <c r="E2852" s="9">
        <v>2000</v>
      </c>
      <c r="F2852" s="3" t="s">
        <v>8</v>
      </c>
      <c r="G2852" s="5">
        <v>5.3</v>
      </c>
      <c r="H2852" s="5">
        <v>6.3</v>
      </c>
      <c r="I2852" s="5">
        <v>7.3</v>
      </c>
      <c r="J2852" s="8">
        <v>0</v>
      </c>
      <c r="K2852" s="1">
        <f t="shared" si="3702"/>
        <v>2000</v>
      </c>
      <c r="L2852" s="51">
        <f t="shared" si="3712"/>
        <v>2000</v>
      </c>
      <c r="M2852" s="51">
        <v>0</v>
      </c>
      <c r="N2852" s="2">
        <f t="shared" si="3709"/>
        <v>2</v>
      </c>
      <c r="O2852" s="2">
        <f t="shared" si="3713"/>
        <v>4000</v>
      </c>
    </row>
    <row r="2853" spans="1:15">
      <c r="A2853" s="4">
        <v>42713</v>
      </c>
      <c r="B2853" s="6" t="s">
        <v>17</v>
      </c>
      <c r="C2853" s="22" t="s">
        <v>46</v>
      </c>
      <c r="D2853" s="7">
        <v>430</v>
      </c>
      <c r="E2853" s="9">
        <v>1200</v>
      </c>
      <c r="F2853" s="3" t="s">
        <v>8</v>
      </c>
      <c r="G2853" s="5">
        <v>5.5</v>
      </c>
      <c r="H2853" s="5">
        <v>3</v>
      </c>
      <c r="I2853" s="5">
        <v>0</v>
      </c>
      <c r="J2853" s="8">
        <v>0</v>
      </c>
      <c r="K2853" s="1">
        <f t="shared" si="3702"/>
        <v>-3000</v>
      </c>
      <c r="L2853" s="51">
        <v>0</v>
      </c>
      <c r="M2853" s="51">
        <v>0</v>
      </c>
      <c r="N2853" s="2">
        <f t="shared" si="3709"/>
        <v>-2.5</v>
      </c>
      <c r="O2853" s="2">
        <f t="shared" si="3713"/>
        <v>-3000</v>
      </c>
    </row>
    <row r="2854" spans="1:15">
      <c r="A2854" s="4">
        <v>42713</v>
      </c>
      <c r="B2854" s="6" t="s">
        <v>19</v>
      </c>
      <c r="C2854" s="22" t="s">
        <v>47</v>
      </c>
      <c r="D2854" s="7">
        <v>980</v>
      </c>
      <c r="E2854" s="9">
        <v>500</v>
      </c>
      <c r="F2854" s="3" t="s">
        <v>8</v>
      </c>
      <c r="G2854" s="5">
        <v>11</v>
      </c>
      <c r="H2854" s="5">
        <v>5</v>
      </c>
      <c r="I2854" s="5">
        <v>0</v>
      </c>
      <c r="J2854" s="8">
        <v>0</v>
      </c>
      <c r="K2854" s="1">
        <f t="shared" si="3702"/>
        <v>-3000</v>
      </c>
      <c r="L2854" s="51">
        <v>0</v>
      </c>
      <c r="M2854" s="51">
        <v>0</v>
      </c>
      <c r="N2854" s="2">
        <f t="shared" si="3709"/>
        <v>-6</v>
      </c>
      <c r="O2854" s="2">
        <f t="shared" si="3713"/>
        <v>-3000</v>
      </c>
    </row>
    <row r="2855" spans="1:15">
      <c r="A2855" s="4">
        <v>42713</v>
      </c>
      <c r="B2855" s="6" t="s">
        <v>14</v>
      </c>
      <c r="C2855" s="22" t="s">
        <v>47</v>
      </c>
      <c r="D2855" s="7">
        <v>380</v>
      </c>
      <c r="E2855" s="9">
        <v>2000</v>
      </c>
      <c r="F2855" s="3" t="s">
        <v>8</v>
      </c>
      <c r="G2855" s="5">
        <v>4.0999999999999996</v>
      </c>
      <c r="H2855" s="5">
        <v>5.0999999999999996</v>
      </c>
      <c r="I2855" s="5">
        <v>0</v>
      </c>
      <c r="J2855" s="8">
        <v>0</v>
      </c>
      <c r="K2855" s="1">
        <f t="shared" si="3702"/>
        <v>2000</v>
      </c>
      <c r="L2855" s="51">
        <v>0</v>
      </c>
      <c r="M2855" s="51">
        <v>0</v>
      </c>
      <c r="N2855" s="2">
        <f t="shared" si="3709"/>
        <v>1</v>
      </c>
      <c r="O2855" s="2">
        <f t="shared" si="3713"/>
        <v>2000</v>
      </c>
    </row>
    <row r="2856" spans="1:15">
      <c r="A2856" s="4">
        <v>42712</v>
      </c>
      <c r="B2856" s="6" t="s">
        <v>13</v>
      </c>
      <c r="C2856" s="22" t="s">
        <v>47</v>
      </c>
      <c r="D2856" s="7">
        <v>800</v>
      </c>
      <c r="E2856" s="9">
        <v>700</v>
      </c>
      <c r="F2856" s="3" t="s">
        <v>8</v>
      </c>
      <c r="G2856" s="5">
        <v>16</v>
      </c>
      <c r="H2856" s="5">
        <v>19</v>
      </c>
      <c r="I2856" s="5">
        <v>22</v>
      </c>
      <c r="J2856" s="8">
        <v>0</v>
      </c>
      <c r="K2856" s="1">
        <f t="shared" si="3702"/>
        <v>2100</v>
      </c>
      <c r="L2856" s="51">
        <f t="shared" ref="L2856:L2857" si="3714">(IF(F2856="SELL",IF(I2856="",0,H2856-I2856),IF(F2856="BUY",IF(I2856="",0,I2856-H2856))))*E2856</f>
        <v>2100</v>
      </c>
      <c r="M2856" s="51">
        <v>0</v>
      </c>
      <c r="N2856" s="2">
        <f t="shared" si="3709"/>
        <v>6</v>
      </c>
      <c r="O2856" s="2">
        <f t="shared" si="3713"/>
        <v>4200</v>
      </c>
    </row>
    <row r="2857" spans="1:15">
      <c r="A2857" s="4">
        <v>42712</v>
      </c>
      <c r="B2857" s="6" t="s">
        <v>26</v>
      </c>
      <c r="C2857" s="22" t="s">
        <v>47</v>
      </c>
      <c r="D2857" s="7">
        <v>440</v>
      </c>
      <c r="E2857" s="9">
        <v>2000</v>
      </c>
      <c r="F2857" s="3" t="s">
        <v>8</v>
      </c>
      <c r="G2857" s="5">
        <v>6.5</v>
      </c>
      <c r="H2857" s="5">
        <v>7.5</v>
      </c>
      <c r="I2857" s="5">
        <v>8.5</v>
      </c>
      <c r="J2857" s="8">
        <v>0</v>
      </c>
      <c r="K2857" s="1">
        <f t="shared" si="3702"/>
        <v>2000</v>
      </c>
      <c r="L2857" s="51">
        <f t="shared" si="3714"/>
        <v>2000</v>
      </c>
      <c r="M2857" s="51">
        <v>0</v>
      </c>
      <c r="N2857" s="2">
        <f t="shared" si="3709"/>
        <v>2</v>
      </c>
      <c r="O2857" s="2">
        <f t="shared" si="3713"/>
        <v>4000</v>
      </c>
    </row>
    <row r="2858" spans="1:15">
      <c r="A2858" s="4">
        <v>42712</v>
      </c>
      <c r="B2858" s="6" t="s">
        <v>30</v>
      </c>
      <c r="C2858" s="22" t="s">
        <v>47</v>
      </c>
      <c r="D2858" s="7">
        <v>275</v>
      </c>
      <c r="E2858" s="9">
        <v>2500</v>
      </c>
      <c r="F2858" s="3" t="s">
        <v>8</v>
      </c>
      <c r="G2858" s="5">
        <v>4.8</v>
      </c>
      <c r="H2858" s="5">
        <v>3.8</v>
      </c>
      <c r="I2858" s="5">
        <v>0</v>
      </c>
      <c r="J2858" s="8">
        <v>0</v>
      </c>
      <c r="K2858" s="1">
        <f t="shared" si="3702"/>
        <v>-2500</v>
      </c>
      <c r="L2858" s="51">
        <v>0</v>
      </c>
      <c r="M2858" s="51">
        <v>0</v>
      </c>
      <c r="N2858" s="2">
        <f t="shared" si="3709"/>
        <v>-1</v>
      </c>
      <c r="O2858" s="2">
        <f t="shared" si="3713"/>
        <v>-2500</v>
      </c>
    </row>
    <row r="2859" spans="1:15">
      <c r="A2859" s="4">
        <v>42711</v>
      </c>
      <c r="B2859" s="6" t="s">
        <v>40</v>
      </c>
      <c r="C2859" s="22" t="s">
        <v>47</v>
      </c>
      <c r="D2859" s="7">
        <v>75</v>
      </c>
      <c r="E2859" s="9">
        <v>5000</v>
      </c>
      <c r="F2859" s="3" t="s">
        <v>8</v>
      </c>
      <c r="G2859" s="5">
        <v>2.7</v>
      </c>
      <c r="H2859" s="5">
        <v>3.5</v>
      </c>
      <c r="I2859" s="5">
        <v>0</v>
      </c>
      <c r="J2859" s="8">
        <v>0</v>
      </c>
      <c r="K2859" s="1">
        <f t="shared" si="3702"/>
        <v>3999.9999999999991</v>
      </c>
      <c r="L2859" s="51">
        <v>0</v>
      </c>
      <c r="M2859" s="51">
        <v>0</v>
      </c>
      <c r="N2859" s="2">
        <f t="shared" si="3709"/>
        <v>0.79999999999999982</v>
      </c>
      <c r="O2859" s="2">
        <f t="shared" si="3713"/>
        <v>3999.9999999999991</v>
      </c>
    </row>
    <row r="2860" spans="1:15">
      <c r="A2860" s="4">
        <v>42711</v>
      </c>
      <c r="B2860" s="6" t="s">
        <v>34</v>
      </c>
      <c r="C2860" s="22" t="s">
        <v>47</v>
      </c>
      <c r="D2860" s="7">
        <v>185</v>
      </c>
      <c r="E2860" s="9">
        <v>3500</v>
      </c>
      <c r="F2860" s="3" t="s">
        <v>8</v>
      </c>
      <c r="G2860" s="5">
        <v>4.2</v>
      </c>
      <c r="H2860" s="5">
        <v>3.5</v>
      </c>
      <c r="I2860" s="5">
        <v>0</v>
      </c>
      <c r="J2860" s="8">
        <v>0</v>
      </c>
      <c r="K2860" s="1">
        <f t="shared" si="3702"/>
        <v>-2450.0000000000005</v>
      </c>
      <c r="L2860" s="51">
        <v>0</v>
      </c>
      <c r="M2860" s="51">
        <v>0</v>
      </c>
      <c r="N2860" s="2">
        <f t="shared" si="3709"/>
        <v>-0.70000000000000018</v>
      </c>
      <c r="O2860" s="2">
        <f t="shared" si="3713"/>
        <v>-2450.0000000000005</v>
      </c>
    </row>
    <row r="2861" spans="1:15">
      <c r="A2861" s="4">
        <v>42710</v>
      </c>
      <c r="B2861" s="6" t="s">
        <v>22</v>
      </c>
      <c r="C2861" s="22" t="s">
        <v>47</v>
      </c>
      <c r="D2861" s="7">
        <v>120</v>
      </c>
      <c r="E2861" s="9">
        <v>5000</v>
      </c>
      <c r="F2861" s="3" t="s">
        <v>8</v>
      </c>
      <c r="G2861" s="5">
        <v>4.2</v>
      </c>
      <c r="H2861" s="5">
        <v>3.5</v>
      </c>
      <c r="I2861" s="5">
        <v>0</v>
      </c>
      <c r="J2861" s="8">
        <v>0</v>
      </c>
      <c r="K2861" s="1">
        <f t="shared" si="3702"/>
        <v>-3500.0000000000009</v>
      </c>
      <c r="L2861" s="51">
        <v>0</v>
      </c>
      <c r="M2861" s="51">
        <v>0</v>
      </c>
      <c r="N2861" s="2">
        <f t="shared" si="3709"/>
        <v>-0.70000000000000018</v>
      </c>
      <c r="O2861" s="2">
        <f t="shared" si="3713"/>
        <v>-3500.0000000000009</v>
      </c>
    </row>
    <row r="2862" spans="1:15">
      <c r="A2862" s="4">
        <v>42710</v>
      </c>
      <c r="B2862" s="6" t="s">
        <v>26</v>
      </c>
      <c r="C2862" s="22" t="s">
        <v>47</v>
      </c>
      <c r="D2862" s="7">
        <v>430</v>
      </c>
      <c r="E2862" s="9">
        <v>2000</v>
      </c>
      <c r="F2862" s="3" t="s">
        <v>8</v>
      </c>
      <c r="G2862" s="5">
        <v>6.8</v>
      </c>
      <c r="H2862" s="5">
        <v>7.8</v>
      </c>
      <c r="I2862" s="5">
        <v>8.8000000000000007</v>
      </c>
      <c r="J2862" s="8">
        <v>0</v>
      </c>
      <c r="K2862" s="1">
        <f t="shared" si="3702"/>
        <v>2000</v>
      </c>
      <c r="L2862" s="51">
        <f t="shared" ref="L2862:L2867" si="3715">(IF(F2862="SELL",IF(I2862="",0,H2862-I2862),IF(F2862="BUY",IF(I2862="",0,I2862-H2862))))*E2862</f>
        <v>2000.0000000000018</v>
      </c>
      <c r="M2862" s="51">
        <v>0</v>
      </c>
      <c r="N2862" s="2">
        <f t="shared" si="3709"/>
        <v>2.0000000000000009</v>
      </c>
      <c r="O2862" s="2">
        <f t="shared" si="3713"/>
        <v>4000.0000000000018</v>
      </c>
    </row>
    <row r="2863" spans="1:15">
      <c r="A2863" s="4">
        <v>42709</v>
      </c>
      <c r="B2863" s="6" t="s">
        <v>22</v>
      </c>
      <c r="C2863" s="22" t="s">
        <v>47</v>
      </c>
      <c r="D2863" s="7">
        <v>115</v>
      </c>
      <c r="E2863" s="9">
        <v>5000</v>
      </c>
      <c r="F2863" s="3" t="s">
        <v>8</v>
      </c>
      <c r="G2863" s="5">
        <v>4.2</v>
      </c>
      <c r="H2863" s="5">
        <v>4.8</v>
      </c>
      <c r="I2863" s="5">
        <v>5.4</v>
      </c>
      <c r="J2863" s="8">
        <v>0</v>
      </c>
      <c r="K2863" s="1">
        <f t="shared" si="3702"/>
        <v>2999.9999999999982</v>
      </c>
      <c r="L2863" s="51">
        <f t="shared" si="3715"/>
        <v>3000.0000000000027</v>
      </c>
      <c r="M2863" s="51">
        <v>0</v>
      </c>
      <c r="N2863" s="2">
        <f t="shared" si="3709"/>
        <v>1.2000000000000002</v>
      </c>
      <c r="O2863" s="2">
        <f t="shared" si="3713"/>
        <v>6000.0000000000009</v>
      </c>
    </row>
    <row r="2864" spans="1:15">
      <c r="A2864" s="4">
        <v>42709</v>
      </c>
      <c r="B2864" s="6" t="s">
        <v>19</v>
      </c>
      <c r="C2864" s="22" t="s">
        <v>47</v>
      </c>
      <c r="D2864" s="7">
        <v>960</v>
      </c>
      <c r="E2864" s="9">
        <v>600</v>
      </c>
      <c r="F2864" s="3" t="s">
        <v>8</v>
      </c>
      <c r="G2864" s="5">
        <v>14.5</v>
      </c>
      <c r="H2864" s="5">
        <v>18.5</v>
      </c>
      <c r="I2864" s="5">
        <v>0</v>
      </c>
      <c r="J2864" s="8">
        <v>0</v>
      </c>
      <c r="K2864" s="1">
        <f t="shared" si="3702"/>
        <v>2400</v>
      </c>
      <c r="L2864" s="51">
        <v>0</v>
      </c>
      <c r="M2864" s="51">
        <v>0</v>
      </c>
      <c r="N2864" s="2">
        <f t="shared" si="3709"/>
        <v>4</v>
      </c>
      <c r="O2864" s="2">
        <f t="shared" si="3713"/>
        <v>2400</v>
      </c>
    </row>
    <row r="2865" spans="1:15">
      <c r="A2865" s="4">
        <v>42709</v>
      </c>
      <c r="B2865" s="6" t="s">
        <v>34</v>
      </c>
      <c r="C2865" s="22" t="s">
        <v>47</v>
      </c>
      <c r="D2865" s="7">
        <v>185</v>
      </c>
      <c r="E2865" s="9">
        <v>3500</v>
      </c>
      <c r="F2865" s="3" t="s">
        <v>8</v>
      </c>
      <c r="G2865" s="5">
        <v>3.5</v>
      </c>
      <c r="H2865" s="5">
        <v>4.5</v>
      </c>
      <c r="I2865" s="5">
        <v>5.5</v>
      </c>
      <c r="J2865" s="8">
        <v>0</v>
      </c>
      <c r="K2865" s="1">
        <f t="shared" si="3702"/>
        <v>3500</v>
      </c>
      <c r="L2865" s="51">
        <f t="shared" si="3715"/>
        <v>3500</v>
      </c>
      <c r="M2865" s="51">
        <v>0</v>
      </c>
      <c r="N2865" s="2">
        <f t="shared" si="3709"/>
        <v>2</v>
      </c>
      <c r="O2865" s="2">
        <f t="shared" si="3713"/>
        <v>7000</v>
      </c>
    </row>
    <row r="2866" spans="1:15">
      <c r="A2866" s="4">
        <v>42706</v>
      </c>
      <c r="B2866" s="6" t="s">
        <v>34</v>
      </c>
      <c r="C2866" s="22" t="s">
        <v>47</v>
      </c>
      <c r="D2866" s="7">
        <v>190</v>
      </c>
      <c r="E2866" s="9">
        <v>3500</v>
      </c>
      <c r="F2866" s="3" t="s">
        <v>8</v>
      </c>
      <c r="G2866" s="5">
        <v>3.5</v>
      </c>
      <c r="H2866" s="5">
        <v>4.3</v>
      </c>
      <c r="I2866" s="5">
        <v>0</v>
      </c>
      <c r="J2866" s="8">
        <v>0</v>
      </c>
      <c r="K2866" s="1">
        <f t="shared" si="3702"/>
        <v>2799.9999999999995</v>
      </c>
      <c r="L2866" s="51">
        <v>0</v>
      </c>
      <c r="M2866" s="51">
        <v>0</v>
      </c>
      <c r="N2866" s="2">
        <f t="shared" si="3709"/>
        <v>0.79999999999999982</v>
      </c>
      <c r="O2866" s="2">
        <f t="shared" si="3713"/>
        <v>2799.9999999999995</v>
      </c>
    </row>
    <row r="2867" spans="1:15">
      <c r="A2867" s="4">
        <v>42704</v>
      </c>
      <c r="B2867" s="6" t="s">
        <v>30</v>
      </c>
      <c r="C2867" s="22" t="s">
        <v>47</v>
      </c>
      <c r="D2867" s="7">
        <v>270</v>
      </c>
      <c r="E2867" s="9">
        <v>2500</v>
      </c>
      <c r="F2867" s="3" t="s">
        <v>8</v>
      </c>
      <c r="G2867" s="5">
        <v>6</v>
      </c>
      <c r="H2867" s="5">
        <v>6.8</v>
      </c>
      <c r="I2867" s="5">
        <v>7.6</v>
      </c>
      <c r="J2867" s="8">
        <v>0</v>
      </c>
      <c r="K2867" s="1">
        <f t="shared" si="3702"/>
        <v>1999.9999999999995</v>
      </c>
      <c r="L2867" s="51">
        <f t="shared" si="3715"/>
        <v>1999.9999999999995</v>
      </c>
      <c r="M2867" s="51">
        <v>0</v>
      </c>
      <c r="N2867" s="2">
        <f t="shared" si="3709"/>
        <v>1.5999999999999996</v>
      </c>
      <c r="O2867" s="2">
        <f t="shared" si="3713"/>
        <v>3999.9999999999991</v>
      </c>
    </row>
    <row r="2868" spans="1:15">
      <c r="A2868" s="4">
        <v>42704</v>
      </c>
      <c r="B2868" s="6" t="s">
        <v>22</v>
      </c>
      <c r="C2868" s="22" t="s">
        <v>46</v>
      </c>
      <c r="D2868" s="7">
        <v>105</v>
      </c>
      <c r="E2868" s="9">
        <v>5000</v>
      </c>
      <c r="F2868" s="3" t="s">
        <v>8</v>
      </c>
      <c r="G2868" s="5">
        <v>3.2</v>
      </c>
      <c r="H2868" s="5">
        <v>2.4</v>
      </c>
      <c r="I2868" s="5">
        <v>0</v>
      </c>
      <c r="J2868" s="8">
        <v>0</v>
      </c>
      <c r="K2868" s="1">
        <f t="shared" si="3702"/>
        <v>-4000.0000000000014</v>
      </c>
      <c r="L2868" s="51">
        <v>0</v>
      </c>
      <c r="M2868" s="51">
        <v>0</v>
      </c>
      <c r="N2868" s="2">
        <f t="shared" si="3709"/>
        <v>-0.80000000000000027</v>
      </c>
      <c r="O2868" s="2">
        <f t="shared" si="3713"/>
        <v>-4000.0000000000014</v>
      </c>
    </row>
    <row r="2869" spans="1:15">
      <c r="A2869" s="4">
        <v>42704</v>
      </c>
      <c r="B2869" s="6" t="s">
        <v>21</v>
      </c>
      <c r="C2869" s="22" t="s">
        <v>47</v>
      </c>
      <c r="D2869" s="7">
        <v>275</v>
      </c>
      <c r="E2869" s="9">
        <v>3000</v>
      </c>
      <c r="F2869" s="3" t="s">
        <v>8</v>
      </c>
      <c r="G2869" s="5">
        <v>4.5</v>
      </c>
      <c r="H2869" s="5">
        <v>5.15</v>
      </c>
      <c r="I2869" s="5">
        <v>0</v>
      </c>
      <c r="J2869" s="8">
        <v>0</v>
      </c>
      <c r="K2869" s="1">
        <f t="shared" si="3702"/>
        <v>1950.0000000000011</v>
      </c>
      <c r="L2869" s="51">
        <v>0</v>
      </c>
      <c r="M2869" s="51">
        <v>0</v>
      </c>
      <c r="N2869" s="2">
        <f t="shared" si="3709"/>
        <v>0.65000000000000036</v>
      </c>
      <c r="O2869" s="2">
        <f t="shared" si="3713"/>
        <v>1950.0000000000011</v>
      </c>
    </row>
    <row r="2870" spans="1:15">
      <c r="A2870" s="4">
        <v>42703</v>
      </c>
      <c r="B2870" s="6" t="s">
        <v>23</v>
      </c>
      <c r="C2870" s="22" t="s">
        <v>47</v>
      </c>
      <c r="D2870" s="7">
        <v>520</v>
      </c>
      <c r="E2870" s="9">
        <v>1300</v>
      </c>
      <c r="F2870" s="3" t="s">
        <v>8</v>
      </c>
      <c r="G2870" s="5">
        <v>6.5</v>
      </c>
      <c r="H2870" s="5">
        <v>8.4499999999999993</v>
      </c>
      <c r="I2870" s="5">
        <v>0</v>
      </c>
      <c r="J2870" s="8">
        <v>0</v>
      </c>
      <c r="K2870" s="1">
        <f t="shared" si="3702"/>
        <v>2534.9999999999991</v>
      </c>
      <c r="L2870" s="51">
        <v>0</v>
      </c>
      <c r="M2870" s="51">
        <v>0</v>
      </c>
      <c r="N2870" s="2">
        <f t="shared" si="3709"/>
        <v>1.9499999999999993</v>
      </c>
      <c r="O2870" s="2">
        <f t="shared" si="3713"/>
        <v>2534.9999999999991</v>
      </c>
    </row>
    <row r="2871" spans="1:15">
      <c r="A2871" s="4">
        <v>42702</v>
      </c>
      <c r="B2871" s="6" t="s">
        <v>24</v>
      </c>
      <c r="C2871" s="22" t="s">
        <v>47</v>
      </c>
      <c r="D2871" s="7">
        <v>500</v>
      </c>
      <c r="E2871" s="9">
        <v>1500</v>
      </c>
      <c r="F2871" s="3" t="s">
        <v>8</v>
      </c>
      <c r="G2871" s="5">
        <v>7.2</v>
      </c>
      <c r="H2871" s="5">
        <v>8</v>
      </c>
      <c r="I2871" s="5">
        <v>0</v>
      </c>
      <c r="J2871" s="8">
        <v>0</v>
      </c>
      <c r="K2871" s="1">
        <f t="shared" si="3702"/>
        <v>1199.9999999999998</v>
      </c>
      <c r="L2871" s="51">
        <v>0</v>
      </c>
      <c r="M2871" s="51">
        <v>0</v>
      </c>
      <c r="N2871" s="2">
        <f t="shared" si="3709"/>
        <v>0.79999999999999982</v>
      </c>
      <c r="O2871" s="2">
        <f t="shared" si="3713"/>
        <v>1199.9999999999998</v>
      </c>
    </row>
    <row r="2872" spans="1:15">
      <c r="A2872" s="4">
        <v>42702</v>
      </c>
      <c r="B2872" s="6" t="s">
        <v>21</v>
      </c>
      <c r="C2872" s="22" t="s">
        <v>47</v>
      </c>
      <c r="D2872" s="7">
        <v>280</v>
      </c>
      <c r="E2872" s="9">
        <v>3000</v>
      </c>
      <c r="F2872" s="3" t="s">
        <v>8</v>
      </c>
      <c r="G2872" s="5">
        <v>5.5</v>
      </c>
      <c r="H2872" s="5">
        <v>5.95</v>
      </c>
      <c r="I2872" s="5">
        <v>0</v>
      </c>
      <c r="J2872" s="8">
        <v>0</v>
      </c>
      <c r="K2872" s="1">
        <f t="shared" si="3702"/>
        <v>1350.0000000000005</v>
      </c>
      <c r="L2872" s="51">
        <v>0</v>
      </c>
      <c r="M2872" s="51">
        <v>0</v>
      </c>
      <c r="N2872" s="2">
        <f t="shared" si="3709"/>
        <v>0.45000000000000018</v>
      </c>
      <c r="O2872" s="2">
        <f t="shared" si="3713"/>
        <v>1350.0000000000005</v>
      </c>
    </row>
    <row r="2873" spans="1:15">
      <c r="A2873" s="4">
        <v>42699</v>
      </c>
      <c r="B2873" s="6" t="s">
        <v>24</v>
      </c>
      <c r="C2873" s="22" t="s">
        <v>46</v>
      </c>
      <c r="D2873" s="7">
        <v>400</v>
      </c>
      <c r="E2873" s="9">
        <v>1500</v>
      </c>
      <c r="F2873" s="3" t="s">
        <v>8</v>
      </c>
      <c r="G2873" s="5">
        <v>6</v>
      </c>
      <c r="H2873" s="5">
        <v>6.8</v>
      </c>
      <c r="I2873" s="5">
        <v>0</v>
      </c>
      <c r="J2873" s="8">
        <v>0</v>
      </c>
      <c r="K2873" s="1">
        <f t="shared" si="3702"/>
        <v>1199.9999999999998</v>
      </c>
      <c r="L2873" s="51">
        <v>0</v>
      </c>
      <c r="M2873" s="51">
        <v>0</v>
      </c>
      <c r="N2873" s="2">
        <f t="shared" si="3709"/>
        <v>0.79999999999999982</v>
      </c>
      <c r="O2873" s="2">
        <f t="shared" si="3713"/>
        <v>1199.9999999999998</v>
      </c>
    </row>
    <row r="2874" spans="1:15">
      <c r="A2874" s="4">
        <v>42699</v>
      </c>
      <c r="B2874" s="6" t="s">
        <v>23</v>
      </c>
      <c r="C2874" s="22" t="s">
        <v>47</v>
      </c>
      <c r="D2874" s="7">
        <v>520</v>
      </c>
      <c r="E2874" s="9">
        <v>1300</v>
      </c>
      <c r="F2874" s="3" t="s">
        <v>8</v>
      </c>
      <c r="G2874" s="5">
        <v>6</v>
      </c>
      <c r="H2874" s="5">
        <v>7</v>
      </c>
      <c r="I2874" s="5">
        <v>0</v>
      </c>
      <c r="J2874" s="8">
        <v>0</v>
      </c>
      <c r="K2874" s="1">
        <f t="shared" si="3702"/>
        <v>1300</v>
      </c>
      <c r="L2874" s="51">
        <v>0</v>
      </c>
      <c r="M2874" s="51">
        <v>0</v>
      </c>
      <c r="N2874" s="2">
        <f t="shared" si="3709"/>
        <v>1</v>
      </c>
      <c r="O2874" s="2">
        <f t="shared" si="3713"/>
        <v>1300</v>
      </c>
    </row>
    <row r="2875" spans="1:15">
      <c r="A2875" s="4">
        <v>42699</v>
      </c>
      <c r="B2875" s="6" t="s">
        <v>17</v>
      </c>
      <c r="C2875" s="22" t="s">
        <v>46</v>
      </c>
      <c r="D2875" s="7">
        <v>480</v>
      </c>
      <c r="E2875" s="9">
        <v>1200</v>
      </c>
      <c r="F2875" s="3" t="s">
        <v>8</v>
      </c>
      <c r="G2875" s="5">
        <v>5.5</v>
      </c>
      <c r="H2875" s="5">
        <v>6.5</v>
      </c>
      <c r="I2875" s="5">
        <v>7.5</v>
      </c>
      <c r="J2875" s="8">
        <v>8.5</v>
      </c>
      <c r="K2875" s="1">
        <f t="shared" si="3702"/>
        <v>1200</v>
      </c>
      <c r="L2875" s="51">
        <f t="shared" ref="L2875:L2880" si="3716">(IF(F2875="SELL",IF(I2875="",0,H2875-I2875),IF(F2875="BUY",IF(I2875="",0,I2875-H2875))))*E2875</f>
        <v>1200</v>
      </c>
      <c r="M2875" s="51">
        <f>(IF(F2875="SELL",IF(J2875="",0,I2875-J2875),IF(F2875="BUY",IF(J2875="",0,(J2875-I2875)))))*E2875</f>
        <v>1200</v>
      </c>
      <c r="N2875" s="2">
        <f t="shared" si="3709"/>
        <v>3</v>
      </c>
      <c r="O2875" s="2">
        <f t="shared" si="3713"/>
        <v>3600</v>
      </c>
    </row>
    <row r="2876" spans="1:15">
      <c r="A2876" s="4">
        <v>42698</v>
      </c>
      <c r="B2876" s="6" t="s">
        <v>21</v>
      </c>
      <c r="C2876" s="22" t="s">
        <v>47</v>
      </c>
      <c r="D2876" s="7">
        <v>255</v>
      </c>
      <c r="E2876" s="9">
        <v>3000</v>
      </c>
      <c r="F2876" s="3" t="s">
        <v>8</v>
      </c>
      <c r="G2876" s="5">
        <v>5</v>
      </c>
      <c r="H2876" s="5">
        <v>5.5</v>
      </c>
      <c r="I2876" s="5">
        <v>6</v>
      </c>
      <c r="J2876" s="8">
        <v>6.5</v>
      </c>
      <c r="K2876" s="1">
        <f t="shared" si="3702"/>
        <v>1500</v>
      </c>
      <c r="L2876" s="51">
        <f t="shared" si="3716"/>
        <v>1500</v>
      </c>
      <c r="M2876" s="51">
        <f>(IF(F2876="SELL",IF(J2876="",0,I2876-J2876),IF(F2876="BUY",IF(J2876="",0,(J2876-I2876)))))*E2876</f>
        <v>1500</v>
      </c>
      <c r="N2876" s="2">
        <f t="shared" si="3709"/>
        <v>1.5</v>
      </c>
      <c r="O2876" s="2">
        <f t="shared" si="3713"/>
        <v>4500</v>
      </c>
    </row>
    <row r="2877" spans="1:15">
      <c r="A2877" s="4">
        <v>42698</v>
      </c>
      <c r="B2877" s="6" t="s">
        <v>34</v>
      </c>
      <c r="C2877" s="22" t="s">
        <v>47</v>
      </c>
      <c r="D2877" s="7">
        <v>190</v>
      </c>
      <c r="E2877" s="9">
        <v>3500</v>
      </c>
      <c r="F2877" s="3" t="s">
        <v>8</v>
      </c>
      <c r="G2877" s="5">
        <v>4.8</v>
      </c>
      <c r="H2877" s="5">
        <v>5.8</v>
      </c>
      <c r="I2877" s="5">
        <v>0</v>
      </c>
      <c r="J2877" s="8">
        <v>0</v>
      </c>
      <c r="K2877" s="1">
        <f t="shared" si="3702"/>
        <v>3500</v>
      </c>
      <c r="L2877" s="51">
        <v>0</v>
      </c>
      <c r="M2877" s="51">
        <v>0</v>
      </c>
      <c r="N2877" s="2">
        <f t="shared" si="3709"/>
        <v>1</v>
      </c>
      <c r="O2877" s="2">
        <f t="shared" si="3713"/>
        <v>3500</v>
      </c>
    </row>
    <row r="2878" spans="1:15">
      <c r="A2878" s="4">
        <v>42698</v>
      </c>
      <c r="B2878" s="6" t="s">
        <v>11</v>
      </c>
      <c r="C2878" s="22" t="s">
        <v>47</v>
      </c>
      <c r="D2878" s="7">
        <v>720</v>
      </c>
      <c r="E2878" s="9">
        <v>1000</v>
      </c>
      <c r="F2878" s="3" t="s">
        <v>8</v>
      </c>
      <c r="G2878" s="5">
        <v>5</v>
      </c>
      <c r="H2878" s="5">
        <v>6</v>
      </c>
      <c r="I2878" s="5">
        <v>7</v>
      </c>
      <c r="J2878" s="8">
        <v>0</v>
      </c>
      <c r="K2878" s="1">
        <f t="shared" si="3702"/>
        <v>1000</v>
      </c>
      <c r="L2878" s="51">
        <f t="shared" si="3716"/>
        <v>1000</v>
      </c>
      <c r="M2878" s="51">
        <v>0</v>
      </c>
      <c r="N2878" s="2">
        <f t="shared" si="3709"/>
        <v>2</v>
      </c>
      <c r="O2878" s="2">
        <f t="shared" si="3713"/>
        <v>2000</v>
      </c>
    </row>
    <row r="2879" spans="1:15">
      <c r="A2879" s="4">
        <v>42697</v>
      </c>
      <c r="B2879" s="6" t="s">
        <v>23</v>
      </c>
      <c r="C2879" s="22" t="s">
        <v>47</v>
      </c>
      <c r="D2879" s="7">
        <v>460</v>
      </c>
      <c r="E2879" s="9">
        <v>1300</v>
      </c>
      <c r="F2879" s="3" t="s">
        <v>8</v>
      </c>
      <c r="G2879" s="5">
        <v>4</v>
      </c>
      <c r="H2879" s="5">
        <v>5</v>
      </c>
      <c r="I2879" s="5">
        <v>6</v>
      </c>
      <c r="J2879" s="8">
        <v>7</v>
      </c>
      <c r="K2879" s="1">
        <f t="shared" si="3702"/>
        <v>1300</v>
      </c>
      <c r="L2879" s="51">
        <f t="shared" si="3716"/>
        <v>1300</v>
      </c>
      <c r="M2879" s="51">
        <f>(IF(F2879="SELL",IF(J2879="",0,I2879-J2879),IF(F2879="BUY",IF(J2879="",0,(J2879-I2879)))))*E2879</f>
        <v>1300</v>
      </c>
      <c r="N2879" s="2">
        <f t="shared" si="3709"/>
        <v>3</v>
      </c>
      <c r="O2879" s="2">
        <f t="shared" si="3713"/>
        <v>3900</v>
      </c>
    </row>
    <row r="2880" spans="1:15">
      <c r="A2880" s="4">
        <v>42697</v>
      </c>
      <c r="B2880" s="6" t="s">
        <v>26</v>
      </c>
      <c r="C2880" s="22" t="s">
        <v>47</v>
      </c>
      <c r="D2880" s="7">
        <v>380</v>
      </c>
      <c r="E2880" s="9">
        <v>2000</v>
      </c>
      <c r="F2880" s="3" t="s">
        <v>8</v>
      </c>
      <c r="G2880" s="5">
        <v>7</v>
      </c>
      <c r="H2880" s="5">
        <v>7.5</v>
      </c>
      <c r="I2880" s="5">
        <v>8</v>
      </c>
      <c r="J2880" s="8">
        <v>8.5</v>
      </c>
      <c r="K2880" s="1">
        <f t="shared" si="3702"/>
        <v>1000</v>
      </c>
      <c r="L2880" s="51">
        <f t="shared" si="3716"/>
        <v>1000</v>
      </c>
      <c r="M2880" s="51">
        <f>(IF(F2880="SELL",IF(J2880="",0,I2880-J2880),IF(F2880="BUY",IF(J2880="",0,(J2880-I2880)))))*E2880</f>
        <v>1000</v>
      </c>
      <c r="N2880" s="2">
        <f t="shared" si="3709"/>
        <v>1.5</v>
      </c>
      <c r="O2880" s="2">
        <f t="shared" si="3713"/>
        <v>3000</v>
      </c>
    </row>
    <row r="2881" spans="1:15">
      <c r="A2881" s="4">
        <v>42697</v>
      </c>
      <c r="B2881" s="6" t="s">
        <v>34</v>
      </c>
      <c r="C2881" s="22" t="s">
        <v>47</v>
      </c>
      <c r="D2881" s="7">
        <v>170</v>
      </c>
      <c r="E2881" s="9">
        <v>3500</v>
      </c>
      <c r="F2881" s="3" t="s">
        <v>8</v>
      </c>
      <c r="G2881" s="5">
        <v>2.8</v>
      </c>
      <c r="H2881" s="5">
        <v>3.8</v>
      </c>
      <c r="I2881" s="5">
        <v>0</v>
      </c>
      <c r="J2881" s="8">
        <v>0</v>
      </c>
      <c r="K2881" s="1">
        <f t="shared" si="3702"/>
        <v>3500</v>
      </c>
      <c r="L2881" s="51">
        <v>0</v>
      </c>
      <c r="M2881" s="51">
        <v>0</v>
      </c>
      <c r="N2881" s="2">
        <f t="shared" si="3709"/>
        <v>1</v>
      </c>
      <c r="O2881" s="2">
        <f t="shared" si="3713"/>
        <v>3500</v>
      </c>
    </row>
    <row r="2882" spans="1:15">
      <c r="A2882" s="4">
        <v>42697</v>
      </c>
      <c r="B2882" s="6" t="s">
        <v>41</v>
      </c>
      <c r="C2882" s="22" t="s">
        <v>47</v>
      </c>
      <c r="D2882" s="7">
        <v>470</v>
      </c>
      <c r="E2882" s="9">
        <v>1500</v>
      </c>
      <c r="F2882" s="3" t="s">
        <v>8</v>
      </c>
      <c r="G2882" s="5">
        <v>4</v>
      </c>
      <c r="H2882" s="5">
        <v>2.4</v>
      </c>
      <c r="I2882" s="5">
        <v>0</v>
      </c>
      <c r="J2882" s="8">
        <v>0</v>
      </c>
      <c r="K2882" s="1">
        <f t="shared" si="3702"/>
        <v>-2400</v>
      </c>
      <c r="L2882" s="51">
        <v>0</v>
      </c>
      <c r="M2882" s="51">
        <v>0</v>
      </c>
      <c r="N2882" s="2">
        <f t="shared" si="3709"/>
        <v>-1.6</v>
      </c>
      <c r="O2882" s="2">
        <f t="shared" si="3713"/>
        <v>-2400</v>
      </c>
    </row>
    <row r="2883" spans="1:15">
      <c r="A2883" s="4">
        <v>42696</v>
      </c>
      <c r="B2883" s="6" t="s">
        <v>26</v>
      </c>
      <c r="C2883" s="22" t="s">
        <v>47</v>
      </c>
      <c r="D2883" s="7">
        <v>380</v>
      </c>
      <c r="E2883" s="9">
        <v>2000</v>
      </c>
      <c r="F2883" s="3" t="s">
        <v>8</v>
      </c>
      <c r="G2883" s="5">
        <v>5.5</v>
      </c>
      <c r="H2883" s="5">
        <v>4.5</v>
      </c>
      <c r="I2883" s="5">
        <v>0</v>
      </c>
      <c r="J2883" s="8">
        <v>0</v>
      </c>
      <c r="K2883" s="1">
        <f t="shared" si="3702"/>
        <v>-2000</v>
      </c>
      <c r="L2883" s="51">
        <v>0</v>
      </c>
      <c r="M2883" s="51">
        <v>0</v>
      </c>
      <c r="N2883" s="2">
        <f t="shared" si="3709"/>
        <v>-1</v>
      </c>
      <c r="O2883" s="2">
        <f t="shared" si="3713"/>
        <v>-2000</v>
      </c>
    </row>
    <row r="2884" spans="1:15">
      <c r="A2884" s="4">
        <v>42696</v>
      </c>
      <c r="B2884" s="6" t="s">
        <v>17</v>
      </c>
      <c r="C2884" s="22" t="s">
        <v>46</v>
      </c>
      <c r="D2884" s="7">
        <v>460</v>
      </c>
      <c r="E2884" s="9">
        <v>1200</v>
      </c>
      <c r="F2884" s="3" t="s">
        <v>8</v>
      </c>
      <c r="G2884" s="5">
        <v>4</v>
      </c>
      <c r="H2884" s="5">
        <v>5</v>
      </c>
      <c r="I2884" s="5">
        <v>0</v>
      </c>
      <c r="J2884" s="8">
        <v>0</v>
      </c>
      <c r="K2884" s="1">
        <f t="shared" si="3702"/>
        <v>1200</v>
      </c>
      <c r="L2884" s="51">
        <v>0</v>
      </c>
      <c r="M2884" s="51">
        <v>0</v>
      </c>
      <c r="N2884" s="2">
        <f t="shared" si="3709"/>
        <v>1</v>
      </c>
      <c r="O2884" s="2">
        <f t="shared" si="3713"/>
        <v>1200</v>
      </c>
    </row>
    <row r="2885" spans="1:15">
      <c r="A2885" s="4">
        <v>42695</v>
      </c>
      <c r="B2885" s="6" t="s">
        <v>30</v>
      </c>
      <c r="C2885" s="22" t="s">
        <v>46</v>
      </c>
      <c r="D2885" s="7">
        <v>265</v>
      </c>
      <c r="E2885" s="9">
        <v>2500</v>
      </c>
      <c r="F2885" s="3" t="s">
        <v>8</v>
      </c>
      <c r="G2885" s="5">
        <v>5</v>
      </c>
      <c r="H2885" s="5">
        <v>5.5</v>
      </c>
      <c r="I2885" s="5">
        <v>6</v>
      </c>
      <c r="J2885" s="8">
        <v>6.5</v>
      </c>
      <c r="K2885" s="1">
        <f t="shared" si="3702"/>
        <v>1250</v>
      </c>
      <c r="L2885" s="51">
        <f t="shared" ref="L2885" si="3717">(IF(F2885="SELL",IF(I2885="",0,H2885-I2885),IF(F2885="BUY",IF(I2885="",0,I2885-H2885))))*E2885</f>
        <v>1250</v>
      </c>
      <c r="M2885" s="51">
        <f>(IF(F2885="SELL",IF(J2885="",0,I2885-J2885),IF(F2885="BUY",IF(J2885="",0,(J2885-I2885)))))*E2885</f>
        <v>1250</v>
      </c>
      <c r="N2885" s="2">
        <f t="shared" si="3709"/>
        <v>1.5</v>
      </c>
      <c r="O2885" s="2">
        <f t="shared" si="3713"/>
        <v>3750</v>
      </c>
    </row>
    <row r="2886" spans="1:15">
      <c r="A2886" s="4">
        <v>42695</v>
      </c>
      <c r="B2886" s="6" t="s">
        <v>34</v>
      </c>
      <c r="C2886" s="22" t="s">
        <v>47</v>
      </c>
      <c r="D2886" s="7">
        <v>170</v>
      </c>
      <c r="E2886" s="9">
        <v>3500</v>
      </c>
      <c r="F2886" s="3" t="s">
        <v>8</v>
      </c>
      <c r="G2886" s="5">
        <v>3.2</v>
      </c>
      <c r="H2886" s="5">
        <v>2.2000000000000002</v>
      </c>
      <c r="I2886" s="5">
        <v>0</v>
      </c>
      <c r="J2886" s="8">
        <v>0</v>
      </c>
      <c r="K2886" s="1">
        <f t="shared" si="3702"/>
        <v>-3500</v>
      </c>
      <c r="L2886" s="51">
        <v>0</v>
      </c>
      <c r="M2886" s="51">
        <v>0</v>
      </c>
      <c r="N2886" s="2">
        <f t="shared" si="3709"/>
        <v>-1</v>
      </c>
      <c r="O2886" s="2">
        <f t="shared" si="3713"/>
        <v>-3500</v>
      </c>
    </row>
    <row r="2887" spans="1:15">
      <c r="A2887" s="4">
        <v>42695</v>
      </c>
      <c r="B2887" s="6" t="s">
        <v>21</v>
      </c>
      <c r="C2887" s="22" t="s">
        <v>46</v>
      </c>
      <c r="D2887" s="7">
        <v>275</v>
      </c>
      <c r="E2887" s="9">
        <v>3000</v>
      </c>
      <c r="F2887" s="3" t="s">
        <v>8</v>
      </c>
      <c r="G2887" s="5">
        <v>3.5</v>
      </c>
      <c r="H2887" s="5">
        <v>4</v>
      </c>
      <c r="I2887" s="5">
        <v>0</v>
      </c>
      <c r="J2887" s="8">
        <v>0</v>
      </c>
      <c r="K2887" s="1">
        <f t="shared" si="3702"/>
        <v>1500</v>
      </c>
      <c r="L2887" s="51">
        <v>0</v>
      </c>
      <c r="M2887" s="51">
        <v>0</v>
      </c>
      <c r="N2887" s="2">
        <f t="shared" si="3709"/>
        <v>0.5</v>
      </c>
      <c r="O2887" s="2">
        <f t="shared" si="3713"/>
        <v>1500</v>
      </c>
    </row>
    <row r="2888" spans="1:15">
      <c r="A2888" s="4">
        <v>42692</v>
      </c>
      <c r="B2888" s="6" t="s">
        <v>26</v>
      </c>
      <c r="C2888" s="22" t="s">
        <v>46</v>
      </c>
      <c r="D2888" s="7">
        <v>380</v>
      </c>
      <c r="E2888" s="9">
        <v>2000</v>
      </c>
      <c r="F2888" s="3" t="s">
        <v>8</v>
      </c>
      <c r="G2888" s="5">
        <v>4.5</v>
      </c>
      <c r="H2888" s="5">
        <v>5</v>
      </c>
      <c r="I2888" s="5">
        <v>5.5</v>
      </c>
      <c r="J2888" s="8">
        <v>6</v>
      </c>
      <c r="K2888" s="1">
        <f t="shared" si="3702"/>
        <v>1000</v>
      </c>
      <c r="L2888" s="51">
        <f t="shared" ref="L2888" si="3718">(IF(F2888="SELL",IF(I2888="",0,H2888-I2888),IF(F2888="BUY",IF(I2888="",0,I2888-H2888))))*E2888</f>
        <v>1000</v>
      </c>
      <c r="M2888" s="51">
        <f>(IF(F2888="SELL",IF(J2888="",0,I2888-J2888),IF(F2888="BUY",IF(J2888="",0,(J2888-I2888)))))*E2888</f>
        <v>1000</v>
      </c>
      <c r="N2888" s="2">
        <f t="shared" si="3709"/>
        <v>1.5</v>
      </c>
      <c r="O2888" s="2">
        <f t="shared" si="3713"/>
        <v>3000</v>
      </c>
    </row>
    <row r="2889" spans="1:15">
      <c r="A2889" s="4">
        <v>42692</v>
      </c>
      <c r="B2889" s="6" t="s">
        <v>38</v>
      </c>
      <c r="C2889" s="22" t="s">
        <v>46</v>
      </c>
      <c r="D2889" s="7">
        <v>4900</v>
      </c>
      <c r="E2889" s="9">
        <v>150</v>
      </c>
      <c r="F2889" s="3" t="s">
        <v>8</v>
      </c>
      <c r="G2889" s="5">
        <v>78</v>
      </c>
      <c r="H2889" s="5">
        <v>48</v>
      </c>
      <c r="I2889" s="5">
        <v>0</v>
      </c>
      <c r="J2889" s="8">
        <v>0</v>
      </c>
      <c r="K2889" s="1">
        <f t="shared" si="3702"/>
        <v>-4500</v>
      </c>
      <c r="L2889" s="51">
        <v>0</v>
      </c>
      <c r="M2889" s="51">
        <v>0</v>
      </c>
      <c r="N2889" s="2">
        <f t="shared" si="3709"/>
        <v>-30</v>
      </c>
      <c r="O2889" s="2">
        <f t="shared" si="3713"/>
        <v>-4500</v>
      </c>
    </row>
    <row r="2890" spans="1:15">
      <c r="A2890" s="4">
        <v>42692</v>
      </c>
      <c r="B2890" s="6" t="s">
        <v>41</v>
      </c>
      <c r="C2890" s="22" t="s">
        <v>46</v>
      </c>
      <c r="D2890" s="7">
        <v>450</v>
      </c>
      <c r="E2890" s="9">
        <v>1500</v>
      </c>
      <c r="F2890" s="3" t="s">
        <v>8</v>
      </c>
      <c r="G2890" s="5">
        <v>5</v>
      </c>
      <c r="H2890" s="5">
        <v>3.4</v>
      </c>
      <c r="I2890" s="5">
        <v>0</v>
      </c>
      <c r="J2890" s="8">
        <v>0</v>
      </c>
      <c r="K2890" s="1">
        <f t="shared" si="3702"/>
        <v>-2400</v>
      </c>
      <c r="L2890" s="51">
        <v>0</v>
      </c>
      <c r="M2890" s="51">
        <v>0</v>
      </c>
      <c r="N2890" s="2">
        <f t="shared" si="3709"/>
        <v>-1.6</v>
      </c>
      <c r="O2890" s="2">
        <f t="shared" si="3713"/>
        <v>-2400</v>
      </c>
    </row>
    <row r="2891" spans="1:15">
      <c r="A2891" s="4">
        <v>42692</v>
      </c>
      <c r="B2891" s="6" t="s">
        <v>42</v>
      </c>
      <c r="C2891" s="22" t="s">
        <v>47</v>
      </c>
      <c r="D2891" s="7">
        <v>360</v>
      </c>
      <c r="E2891" s="9">
        <v>2000</v>
      </c>
      <c r="F2891" s="3" t="s">
        <v>8</v>
      </c>
      <c r="G2891" s="5">
        <v>3.8</v>
      </c>
      <c r="H2891" s="5">
        <v>4.3</v>
      </c>
      <c r="I2891" s="5">
        <v>4.8</v>
      </c>
      <c r="J2891" s="8">
        <v>0</v>
      </c>
      <c r="K2891" s="1">
        <f t="shared" si="3702"/>
        <v>1000</v>
      </c>
      <c r="L2891" s="51">
        <f t="shared" ref="L2891" si="3719">(IF(F2891="SELL",IF(I2891="",0,H2891-I2891),IF(F2891="BUY",IF(I2891="",0,I2891-H2891))))*E2891</f>
        <v>1000</v>
      </c>
      <c r="M2891" s="51">
        <v>0</v>
      </c>
      <c r="N2891" s="2">
        <f t="shared" si="3709"/>
        <v>1</v>
      </c>
      <c r="O2891" s="2">
        <f t="shared" si="3713"/>
        <v>2000</v>
      </c>
    </row>
    <row r="2892" spans="1:15">
      <c r="A2892" s="4">
        <v>42691</v>
      </c>
      <c r="B2892" s="6" t="s">
        <v>23</v>
      </c>
      <c r="C2892" s="22" t="s">
        <v>47</v>
      </c>
      <c r="D2892" s="7">
        <v>480</v>
      </c>
      <c r="E2892" s="9">
        <v>1300</v>
      </c>
      <c r="F2892" s="3" t="s">
        <v>8</v>
      </c>
      <c r="G2892" s="5">
        <v>5.5</v>
      </c>
      <c r="H2892" s="5">
        <v>6.3</v>
      </c>
      <c r="I2892" s="5">
        <v>0</v>
      </c>
      <c r="J2892" s="8">
        <v>0</v>
      </c>
      <c r="K2892" s="1">
        <f t="shared" si="3702"/>
        <v>1039.9999999999998</v>
      </c>
      <c r="L2892" s="51">
        <v>0</v>
      </c>
      <c r="M2892" s="51">
        <v>0</v>
      </c>
      <c r="N2892" s="2">
        <f t="shared" ref="N2892:N2921" si="3720">(L2892+K2892+M2892)/E2892</f>
        <v>0.79999999999999982</v>
      </c>
      <c r="O2892" s="2">
        <f t="shared" si="3713"/>
        <v>1039.9999999999998</v>
      </c>
    </row>
    <row r="2893" spans="1:15">
      <c r="A2893" s="4">
        <v>42691</v>
      </c>
      <c r="B2893" s="6" t="s">
        <v>21</v>
      </c>
      <c r="C2893" s="22" t="s">
        <v>47</v>
      </c>
      <c r="D2893" s="7">
        <v>290</v>
      </c>
      <c r="E2893" s="9">
        <v>3000</v>
      </c>
      <c r="F2893" s="3" t="s">
        <v>8</v>
      </c>
      <c r="G2893" s="5">
        <v>4.3</v>
      </c>
      <c r="H2893" s="5">
        <v>3.3</v>
      </c>
      <c r="I2893" s="5">
        <v>0</v>
      </c>
      <c r="J2893" s="8">
        <v>0</v>
      </c>
      <c r="K2893" s="1">
        <f t="shared" si="3702"/>
        <v>-3000</v>
      </c>
      <c r="L2893" s="51">
        <v>0</v>
      </c>
      <c r="M2893" s="51">
        <v>0</v>
      </c>
      <c r="N2893" s="2">
        <f t="shared" si="3720"/>
        <v>-1</v>
      </c>
      <c r="O2893" s="2">
        <f t="shared" si="3713"/>
        <v>-3000</v>
      </c>
    </row>
    <row r="2894" spans="1:15">
      <c r="A2894" s="4">
        <v>42691</v>
      </c>
      <c r="B2894" s="6" t="s">
        <v>17</v>
      </c>
      <c r="C2894" s="22" t="s">
        <v>47</v>
      </c>
      <c r="D2894" s="7">
        <v>490</v>
      </c>
      <c r="E2894" s="9">
        <v>1200</v>
      </c>
      <c r="F2894" s="3" t="s">
        <v>8</v>
      </c>
      <c r="G2894" s="5">
        <v>6</v>
      </c>
      <c r="H2894" s="5">
        <v>7</v>
      </c>
      <c r="I2894" s="5">
        <v>8</v>
      </c>
      <c r="J2894" s="8">
        <v>9</v>
      </c>
      <c r="K2894" s="1">
        <f t="shared" si="3702"/>
        <v>1200</v>
      </c>
      <c r="L2894" s="51">
        <f t="shared" ref="L2894:L2921" si="3721">(IF(F2894="SELL",IF(I2894="",0,H2894-I2894),IF(F2894="BUY",IF(I2894="",0,I2894-H2894))))*E2894</f>
        <v>1200</v>
      </c>
      <c r="M2894" s="51">
        <f>(IF(F2894="SELL",IF(J2894="",0,I2894-J2894),IF(F2894="BUY",IF(J2894="",0,(J2894-I2894)))))*E2894</f>
        <v>1200</v>
      </c>
      <c r="N2894" s="2">
        <f t="shared" si="3720"/>
        <v>3</v>
      </c>
      <c r="O2894" s="2">
        <f t="shared" si="3713"/>
        <v>3600</v>
      </c>
    </row>
    <row r="2895" spans="1:15">
      <c r="A2895" s="4">
        <v>42691</v>
      </c>
      <c r="B2895" s="6" t="s">
        <v>21</v>
      </c>
      <c r="C2895" s="22" t="s">
        <v>46</v>
      </c>
      <c r="D2895" s="7">
        <v>270</v>
      </c>
      <c r="E2895" s="9">
        <v>3000</v>
      </c>
      <c r="F2895" s="3" t="s">
        <v>8</v>
      </c>
      <c r="G2895" s="5">
        <v>4.5</v>
      </c>
      <c r="H2895" s="5">
        <v>5</v>
      </c>
      <c r="I2895" s="5">
        <v>5.5</v>
      </c>
      <c r="J2895" s="5">
        <v>6</v>
      </c>
      <c r="K2895" s="1">
        <f t="shared" si="3702"/>
        <v>1500</v>
      </c>
      <c r="L2895" s="51">
        <f t="shared" si="3721"/>
        <v>1500</v>
      </c>
      <c r="M2895" s="51">
        <f>(IF(F2895="SELL",IF(J2895="",0,I2895-J2895),IF(F2895="BUY",IF(J2895="",0,(J2895-I2895)))))*E2895</f>
        <v>1500</v>
      </c>
      <c r="N2895" s="2">
        <f t="shared" si="3720"/>
        <v>1.5</v>
      </c>
      <c r="O2895" s="2">
        <f t="shared" si="3713"/>
        <v>4500</v>
      </c>
    </row>
    <row r="2896" spans="1:15">
      <c r="A2896" s="4">
        <v>42690</v>
      </c>
      <c r="B2896" s="6" t="s">
        <v>41</v>
      </c>
      <c r="C2896" s="22" t="s">
        <v>46</v>
      </c>
      <c r="D2896" s="7">
        <v>430</v>
      </c>
      <c r="E2896" s="9">
        <v>1500</v>
      </c>
      <c r="F2896" s="3" t="s">
        <v>8</v>
      </c>
      <c r="G2896" s="5">
        <v>7.5</v>
      </c>
      <c r="H2896" s="5">
        <v>5.9</v>
      </c>
      <c r="I2896" s="5">
        <v>0</v>
      </c>
      <c r="J2896" s="5">
        <v>0</v>
      </c>
      <c r="K2896" s="2">
        <f t="shared" si="3702"/>
        <v>-2399.9999999999995</v>
      </c>
      <c r="L2896" s="52">
        <v>0</v>
      </c>
      <c r="M2896" s="52">
        <v>0</v>
      </c>
      <c r="N2896" s="2">
        <f t="shared" si="3720"/>
        <v>-1.5999999999999996</v>
      </c>
      <c r="O2896" s="2">
        <f t="shared" si="3713"/>
        <v>-2399.9999999999995</v>
      </c>
    </row>
    <row r="2897" spans="1:15">
      <c r="A2897" s="4">
        <v>42690</v>
      </c>
      <c r="B2897" s="6" t="s">
        <v>34</v>
      </c>
      <c r="C2897" s="22" t="s">
        <v>47</v>
      </c>
      <c r="D2897" s="7">
        <v>185</v>
      </c>
      <c r="E2897" s="9">
        <v>3500</v>
      </c>
      <c r="F2897" s="3" t="s">
        <v>8</v>
      </c>
      <c r="G2897" s="5">
        <v>4.2</v>
      </c>
      <c r="H2897" s="5">
        <v>4.7</v>
      </c>
      <c r="I2897" s="5">
        <v>5.2</v>
      </c>
      <c r="J2897" s="5">
        <v>0</v>
      </c>
      <c r="K2897" s="2">
        <f t="shared" si="3702"/>
        <v>1750</v>
      </c>
      <c r="L2897" s="52">
        <f t="shared" si="3721"/>
        <v>1750</v>
      </c>
      <c r="M2897" s="52">
        <v>0</v>
      </c>
      <c r="N2897" s="2">
        <f t="shared" si="3720"/>
        <v>1</v>
      </c>
      <c r="O2897" s="2">
        <f t="shared" si="3713"/>
        <v>3500</v>
      </c>
    </row>
    <row r="2898" spans="1:15">
      <c r="A2898" s="4">
        <v>42689</v>
      </c>
      <c r="B2898" s="6" t="s">
        <v>26</v>
      </c>
      <c r="C2898" s="22" t="s">
        <v>46</v>
      </c>
      <c r="D2898" s="7">
        <v>390</v>
      </c>
      <c r="E2898" s="9">
        <v>2000</v>
      </c>
      <c r="F2898" s="3" t="s">
        <v>8</v>
      </c>
      <c r="G2898" s="5">
        <v>5</v>
      </c>
      <c r="H2898" s="5">
        <v>5.5</v>
      </c>
      <c r="I2898" s="5">
        <v>6</v>
      </c>
      <c r="J2898" s="5">
        <v>6.5</v>
      </c>
      <c r="K2898" s="2">
        <f t="shared" si="3702"/>
        <v>1000</v>
      </c>
      <c r="L2898" s="52">
        <f t="shared" si="3721"/>
        <v>1000</v>
      </c>
      <c r="M2898" s="52">
        <f>(IF(F2898="SELL",IF(J2898="",0,I2898-J2898),IF(F2898="BUY",IF(J2898="",0,(J2898-I2898)))))*E2898</f>
        <v>1000</v>
      </c>
      <c r="N2898" s="2">
        <f t="shared" si="3720"/>
        <v>1.5</v>
      </c>
      <c r="O2898" s="2">
        <f t="shared" si="3713"/>
        <v>3000</v>
      </c>
    </row>
    <row r="2899" spans="1:15">
      <c r="A2899" s="4">
        <v>42689</v>
      </c>
      <c r="B2899" s="6" t="s">
        <v>43</v>
      </c>
      <c r="C2899" s="22" t="s">
        <v>47</v>
      </c>
      <c r="D2899" s="7">
        <v>1300</v>
      </c>
      <c r="E2899" s="9">
        <v>500</v>
      </c>
      <c r="F2899" s="3" t="s">
        <v>8</v>
      </c>
      <c r="G2899" s="5">
        <v>10</v>
      </c>
      <c r="H2899" s="5">
        <v>12</v>
      </c>
      <c r="I2899" s="5">
        <v>14</v>
      </c>
      <c r="J2899" s="5">
        <v>0</v>
      </c>
      <c r="K2899" s="2">
        <f t="shared" si="3702"/>
        <v>1000</v>
      </c>
      <c r="L2899" s="52">
        <f t="shared" si="3721"/>
        <v>1000</v>
      </c>
      <c r="M2899" s="52">
        <v>0</v>
      </c>
      <c r="N2899" s="2">
        <f t="shared" si="3720"/>
        <v>4</v>
      </c>
      <c r="O2899" s="2">
        <f t="shared" si="3713"/>
        <v>2000</v>
      </c>
    </row>
    <row r="2900" spans="1:15">
      <c r="A2900" s="4">
        <v>42685</v>
      </c>
      <c r="B2900" s="6" t="s">
        <v>41</v>
      </c>
      <c r="C2900" s="6" t="s">
        <v>46</v>
      </c>
      <c r="D2900" s="7">
        <v>480</v>
      </c>
      <c r="E2900" s="9">
        <v>1500</v>
      </c>
      <c r="F2900" s="3" t="s">
        <v>8</v>
      </c>
      <c r="G2900" s="5">
        <v>6.5</v>
      </c>
      <c r="H2900" s="5">
        <v>7.3</v>
      </c>
      <c r="I2900" s="5">
        <v>8.1</v>
      </c>
      <c r="J2900" s="5">
        <v>8.9</v>
      </c>
      <c r="K2900" s="2">
        <f t="shared" si="3702"/>
        <v>1199.9999999999998</v>
      </c>
      <c r="L2900" s="52">
        <f t="shared" si="3721"/>
        <v>1199.9999999999998</v>
      </c>
      <c r="M2900" s="52">
        <f>(IF(F2900="SELL",IF(J2900="",0,I2900-J2900),IF(F2900="BUY",IF(J2900="",0,(J2900-I2900)))))*E2900</f>
        <v>1200.0000000000011</v>
      </c>
      <c r="N2900" s="2">
        <f t="shared" si="3720"/>
        <v>2.4000000000000008</v>
      </c>
      <c r="O2900" s="2">
        <f t="shared" si="3713"/>
        <v>3600.0000000000014</v>
      </c>
    </row>
    <row r="2901" spans="1:15">
      <c r="A2901" s="4">
        <v>42685</v>
      </c>
      <c r="B2901" s="6" t="s">
        <v>21</v>
      </c>
      <c r="C2901" s="6" t="s">
        <v>47</v>
      </c>
      <c r="D2901" s="7">
        <v>305</v>
      </c>
      <c r="E2901" s="9">
        <v>3000</v>
      </c>
      <c r="F2901" s="3" t="s">
        <v>8</v>
      </c>
      <c r="G2901" s="5">
        <v>5</v>
      </c>
      <c r="H2901" s="5">
        <v>4</v>
      </c>
      <c r="I2901" s="5">
        <v>0</v>
      </c>
      <c r="J2901" s="5">
        <v>0</v>
      </c>
      <c r="K2901" s="2">
        <f t="shared" si="3702"/>
        <v>-3000</v>
      </c>
      <c r="L2901" s="52">
        <v>0</v>
      </c>
      <c r="M2901" s="52">
        <v>0</v>
      </c>
      <c r="N2901" s="2">
        <f t="shared" si="3720"/>
        <v>-1</v>
      </c>
      <c r="O2901" s="2">
        <f t="shared" si="3713"/>
        <v>-3000</v>
      </c>
    </row>
    <row r="2902" spans="1:15">
      <c r="A2902" s="4">
        <v>42685</v>
      </c>
      <c r="B2902" s="6" t="s">
        <v>30</v>
      </c>
      <c r="C2902" s="6" t="s">
        <v>47</v>
      </c>
      <c r="D2902" s="7">
        <v>300</v>
      </c>
      <c r="E2902" s="9">
        <v>2500</v>
      </c>
      <c r="F2902" s="3" t="s">
        <v>8</v>
      </c>
      <c r="G2902" s="5">
        <v>4.0999999999999996</v>
      </c>
      <c r="H2902" s="5">
        <v>4.5999999999999996</v>
      </c>
      <c r="I2902" s="5">
        <v>5.0999999999999996</v>
      </c>
      <c r="J2902" s="5">
        <v>5.6</v>
      </c>
      <c r="K2902" s="2">
        <f t="shared" si="3702"/>
        <v>1250</v>
      </c>
      <c r="L2902" s="52">
        <f t="shared" si="3721"/>
        <v>1250</v>
      </c>
      <c r="M2902" s="52">
        <f>(IF(F2902="SELL",IF(J2902="",0,I2902-J2902),IF(F2902="BUY",IF(J2902="",0,(J2902-I2902)))))*E2902</f>
        <v>1250</v>
      </c>
      <c r="N2902" s="2">
        <f t="shared" si="3720"/>
        <v>1.5</v>
      </c>
      <c r="O2902" s="2">
        <f t="shared" si="3713"/>
        <v>3750</v>
      </c>
    </row>
    <row r="2903" spans="1:15">
      <c r="A2903" s="4">
        <v>42684</v>
      </c>
      <c r="B2903" s="6" t="s">
        <v>25</v>
      </c>
      <c r="C2903" s="6" t="s">
        <v>46</v>
      </c>
      <c r="D2903" s="7">
        <v>140</v>
      </c>
      <c r="E2903" s="9">
        <v>5000</v>
      </c>
      <c r="F2903" s="3" t="s">
        <v>8</v>
      </c>
      <c r="G2903" s="5">
        <v>3.9</v>
      </c>
      <c r="H2903" s="5">
        <v>4.5999999999999996</v>
      </c>
      <c r="I2903" s="5">
        <v>0</v>
      </c>
      <c r="J2903" s="5">
        <v>0</v>
      </c>
      <c r="K2903" s="2">
        <f t="shared" si="3702"/>
        <v>3499.9999999999986</v>
      </c>
      <c r="L2903" s="52">
        <v>0</v>
      </c>
      <c r="M2903" s="52">
        <v>0</v>
      </c>
      <c r="N2903" s="2">
        <f t="shared" si="3720"/>
        <v>0.69999999999999973</v>
      </c>
      <c r="O2903" s="2">
        <f t="shared" si="3713"/>
        <v>3499.9999999999986</v>
      </c>
    </row>
    <row r="2904" spans="1:15">
      <c r="A2904" s="4">
        <v>42684</v>
      </c>
      <c r="B2904" s="6" t="s">
        <v>21</v>
      </c>
      <c r="C2904" s="6" t="s">
        <v>47</v>
      </c>
      <c r="D2904" s="7">
        <v>275</v>
      </c>
      <c r="E2904" s="9">
        <v>3000</v>
      </c>
      <c r="F2904" s="3" t="s">
        <v>8</v>
      </c>
      <c r="G2904" s="5">
        <v>4</v>
      </c>
      <c r="H2904" s="5">
        <v>5</v>
      </c>
      <c r="I2904" s="5">
        <v>6</v>
      </c>
      <c r="J2904" s="5">
        <v>0</v>
      </c>
      <c r="K2904" s="2">
        <f t="shared" si="3702"/>
        <v>3000</v>
      </c>
      <c r="L2904" s="52">
        <f t="shared" si="3721"/>
        <v>3000</v>
      </c>
      <c r="M2904" s="52">
        <v>0</v>
      </c>
      <c r="N2904" s="2">
        <f t="shared" si="3720"/>
        <v>2</v>
      </c>
      <c r="O2904" s="2">
        <f t="shared" si="3713"/>
        <v>6000</v>
      </c>
    </row>
    <row r="2905" spans="1:15">
      <c r="A2905" s="4">
        <v>42683</v>
      </c>
      <c r="B2905" s="6" t="s">
        <v>21</v>
      </c>
      <c r="C2905" s="6" t="s">
        <v>46</v>
      </c>
      <c r="D2905" s="7">
        <v>235</v>
      </c>
      <c r="E2905" s="9">
        <v>3000</v>
      </c>
      <c r="F2905" s="3" t="s">
        <v>8</v>
      </c>
      <c r="G2905" s="5">
        <v>4.5</v>
      </c>
      <c r="H2905" s="5">
        <v>5</v>
      </c>
      <c r="I2905" s="5">
        <v>5.5</v>
      </c>
      <c r="J2905" s="5">
        <v>6</v>
      </c>
      <c r="K2905" s="2">
        <f t="shared" si="3702"/>
        <v>1500</v>
      </c>
      <c r="L2905" s="52">
        <f t="shared" si="3721"/>
        <v>1500</v>
      </c>
      <c r="M2905" s="52">
        <f>(IF(F2905="SELL",IF(J2905="",0,I2905-J2905),IF(F2905="BUY",IF(J2905="",0,(J2905-I2905)))))*E2905</f>
        <v>1500</v>
      </c>
      <c r="N2905" s="2">
        <f t="shared" si="3720"/>
        <v>1.5</v>
      </c>
      <c r="O2905" s="2">
        <f t="shared" si="3713"/>
        <v>4500</v>
      </c>
    </row>
    <row r="2906" spans="1:15">
      <c r="A2906" s="4">
        <v>42683</v>
      </c>
      <c r="B2906" s="6" t="s">
        <v>26</v>
      </c>
      <c r="C2906" s="6" t="s">
        <v>47</v>
      </c>
      <c r="D2906" s="7">
        <v>440</v>
      </c>
      <c r="E2906" s="9">
        <v>2000</v>
      </c>
      <c r="F2906" s="3" t="s">
        <v>8</v>
      </c>
      <c r="G2906" s="5">
        <v>5.5</v>
      </c>
      <c r="H2906" s="5">
        <v>4.5</v>
      </c>
      <c r="I2906" s="5">
        <v>0</v>
      </c>
      <c r="J2906" s="5">
        <v>0</v>
      </c>
      <c r="K2906" s="2">
        <f t="shared" si="3702"/>
        <v>-2000</v>
      </c>
      <c r="L2906" s="52">
        <v>0</v>
      </c>
      <c r="M2906" s="52">
        <v>0</v>
      </c>
      <c r="N2906" s="2">
        <f t="shared" si="3720"/>
        <v>-1</v>
      </c>
      <c r="O2906" s="2">
        <f t="shared" si="3713"/>
        <v>-2000</v>
      </c>
    </row>
    <row r="2907" spans="1:15">
      <c r="A2907" s="4">
        <v>42682</v>
      </c>
      <c r="B2907" s="6" t="s">
        <v>41</v>
      </c>
      <c r="C2907" s="6" t="s">
        <v>46</v>
      </c>
      <c r="D2907" s="7">
        <v>480</v>
      </c>
      <c r="E2907" s="9">
        <v>1500</v>
      </c>
      <c r="F2907" s="3" t="s">
        <v>8</v>
      </c>
      <c r="G2907" s="5">
        <v>7</v>
      </c>
      <c r="H2907" s="5">
        <v>7.8</v>
      </c>
      <c r="I2907" s="5">
        <v>8.6</v>
      </c>
      <c r="J2907" s="5">
        <v>0</v>
      </c>
      <c r="K2907" s="2">
        <f t="shared" si="3702"/>
        <v>1199.9999999999998</v>
      </c>
      <c r="L2907" s="52">
        <f t="shared" si="3721"/>
        <v>1199.9999999999998</v>
      </c>
      <c r="M2907" s="52">
        <v>0</v>
      </c>
      <c r="N2907" s="2">
        <f t="shared" si="3720"/>
        <v>1.5999999999999996</v>
      </c>
      <c r="O2907" s="2">
        <f t="shared" si="3713"/>
        <v>2399.9999999999995</v>
      </c>
    </row>
    <row r="2908" spans="1:15">
      <c r="A2908" s="4">
        <v>42681</v>
      </c>
      <c r="B2908" s="6" t="s">
        <v>17</v>
      </c>
      <c r="C2908" s="6" t="s">
        <v>47</v>
      </c>
      <c r="D2908" s="7">
        <v>500</v>
      </c>
      <c r="E2908" s="9">
        <v>1200</v>
      </c>
      <c r="F2908" s="3" t="s">
        <v>8</v>
      </c>
      <c r="G2908" s="5">
        <v>8</v>
      </c>
      <c r="H2908" s="5">
        <v>9</v>
      </c>
      <c r="I2908" s="5">
        <v>0</v>
      </c>
      <c r="J2908" s="5">
        <v>0</v>
      </c>
      <c r="K2908" s="2">
        <f t="shared" si="3702"/>
        <v>1200</v>
      </c>
      <c r="L2908" s="52">
        <v>0</v>
      </c>
      <c r="M2908" s="52">
        <v>0</v>
      </c>
      <c r="N2908" s="2">
        <f t="shared" si="3720"/>
        <v>1</v>
      </c>
      <c r="O2908" s="2">
        <f t="shared" si="3713"/>
        <v>1200</v>
      </c>
    </row>
    <row r="2909" spans="1:15">
      <c r="A2909" s="4">
        <v>42681</v>
      </c>
      <c r="B2909" s="6" t="s">
        <v>26</v>
      </c>
      <c r="C2909" s="6" t="s">
        <v>46</v>
      </c>
      <c r="D2909" s="7">
        <v>380</v>
      </c>
      <c r="E2909" s="9">
        <v>2000</v>
      </c>
      <c r="F2909" s="3" t="s">
        <v>8</v>
      </c>
      <c r="G2909" s="5">
        <v>6.3</v>
      </c>
      <c r="H2909" s="5">
        <v>6.8</v>
      </c>
      <c r="I2909" s="5">
        <v>7.3</v>
      </c>
      <c r="J2909" s="5">
        <v>7.8</v>
      </c>
      <c r="K2909" s="2">
        <f t="shared" si="3702"/>
        <v>1000</v>
      </c>
      <c r="L2909" s="52">
        <f t="shared" si="3721"/>
        <v>1000</v>
      </c>
      <c r="M2909" s="52">
        <f>(IF(F2909="SELL",IF(J2909="",0,I2909-J2909),IF(F2909="BUY",IF(J2909="",0,(J2909-I2909)))))*E2909</f>
        <v>1000</v>
      </c>
      <c r="N2909" s="2">
        <f t="shared" si="3720"/>
        <v>1.5</v>
      </c>
      <c r="O2909" s="2">
        <f t="shared" si="3713"/>
        <v>3000</v>
      </c>
    </row>
    <row r="2910" spans="1:15">
      <c r="A2910" s="4">
        <v>42678</v>
      </c>
      <c r="B2910" s="6" t="s">
        <v>38</v>
      </c>
      <c r="C2910" s="6" t="s">
        <v>47</v>
      </c>
      <c r="D2910" s="7">
        <v>5800</v>
      </c>
      <c r="E2910" s="9">
        <v>125</v>
      </c>
      <c r="F2910" s="3" t="s">
        <v>8</v>
      </c>
      <c r="G2910" s="5">
        <v>90</v>
      </c>
      <c r="H2910" s="5">
        <v>97</v>
      </c>
      <c r="I2910" s="5">
        <v>104</v>
      </c>
      <c r="J2910" s="5">
        <v>0</v>
      </c>
      <c r="K2910" s="2">
        <f t="shared" si="3702"/>
        <v>875</v>
      </c>
      <c r="L2910" s="52">
        <f t="shared" si="3721"/>
        <v>875</v>
      </c>
      <c r="M2910" s="52">
        <v>0</v>
      </c>
      <c r="N2910" s="2">
        <f t="shared" si="3720"/>
        <v>14</v>
      </c>
      <c r="O2910" s="2">
        <f t="shared" si="3713"/>
        <v>1750</v>
      </c>
    </row>
    <row r="2911" spans="1:15">
      <c r="A2911" s="4">
        <v>42678</v>
      </c>
      <c r="B2911" s="6" t="s">
        <v>21</v>
      </c>
      <c r="C2911" s="6" t="s">
        <v>46</v>
      </c>
      <c r="D2911" s="7">
        <v>235</v>
      </c>
      <c r="E2911" s="9">
        <v>3000</v>
      </c>
      <c r="F2911" s="3" t="s">
        <v>8</v>
      </c>
      <c r="G2911" s="5">
        <v>5.6</v>
      </c>
      <c r="H2911" s="5">
        <v>6.1</v>
      </c>
      <c r="I2911" s="5">
        <v>6.6</v>
      </c>
      <c r="J2911" s="5">
        <v>0</v>
      </c>
      <c r="K2911" s="2">
        <f t="shared" si="3702"/>
        <v>1500</v>
      </c>
      <c r="L2911" s="52">
        <f t="shared" si="3721"/>
        <v>1500</v>
      </c>
      <c r="M2911" s="52">
        <v>0</v>
      </c>
      <c r="N2911" s="2">
        <f t="shared" si="3720"/>
        <v>1</v>
      </c>
      <c r="O2911" s="2">
        <f t="shared" si="3713"/>
        <v>3000</v>
      </c>
    </row>
    <row r="2912" spans="1:15">
      <c r="A2912" s="4">
        <v>42678</v>
      </c>
      <c r="B2912" s="6" t="s">
        <v>41</v>
      </c>
      <c r="C2912" s="6" t="s">
        <v>46</v>
      </c>
      <c r="D2912" s="7">
        <v>470</v>
      </c>
      <c r="E2912" s="9">
        <v>1500</v>
      </c>
      <c r="F2912" s="3" t="s">
        <v>8</v>
      </c>
      <c r="G2912" s="5">
        <v>7</v>
      </c>
      <c r="H2912" s="5">
        <v>5.4</v>
      </c>
      <c r="I2912" s="5">
        <v>0</v>
      </c>
      <c r="J2912" s="5">
        <v>0</v>
      </c>
      <c r="K2912" s="2">
        <f t="shared" si="3702"/>
        <v>-2399.9999999999995</v>
      </c>
      <c r="L2912" s="52">
        <v>0</v>
      </c>
      <c r="M2912" s="52">
        <f>(IF(F2912="SELL",IF(J2912="",0,I2912-J2912),IF(F2912="BUY",IF(J2912="",0,(J2912-I2912)))))*E2912</f>
        <v>0</v>
      </c>
      <c r="N2912" s="2">
        <f t="shared" si="3720"/>
        <v>-1.5999999999999996</v>
      </c>
      <c r="O2912" s="2">
        <f t="shared" ref="O2912:O2921" si="3722">N2912*E2912</f>
        <v>-2399.9999999999995</v>
      </c>
    </row>
    <row r="2913" spans="1:15">
      <c r="A2913" s="4">
        <v>42678</v>
      </c>
      <c r="B2913" s="6" t="s">
        <v>44</v>
      </c>
      <c r="C2913" s="6" t="s">
        <v>47</v>
      </c>
      <c r="D2913" s="7">
        <v>450</v>
      </c>
      <c r="E2913" s="9">
        <v>2000</v>
      </c>
      <c r="F2913" s="3" t="s">
        <v>8</v>
      </c>
      <c r="G2913" s="5">
        <v>4.5</v>
      </c>
      <c r="H2913" s="5">
        <v>5</v>
      </c>
      <c r="I2913" s="5">
        <v>0</v>
      </c>
      <c r="J2913" s="5">
        <v>0</v>
      </c>
      <c r="K2913" s="2">
        <f t="shared" si="3702"/>
        <v>1000</v>
      </c>
      <c r="L2913" s="52">
        <v>0</v>
      </c>
      <c r="M2913" s="52">
        <f>(IF(F2913="SELL",IF(J2913="",0,I2913-J2913),IF(F2913="BUY",IF(J2913="",0,(J2913-I2913)))))*E2913</f>
        <v>0</v>
      </c>
      <c r="N2913" s="2">
        <f t="shared" si="3720"/>
        <v>0.5</v>
      </c>
      <c r="O2913" s="2">
        <f t="shared" si="3722"/>
        <v>1000</v>
      </c>
    </row>
    <row r="2914" spans="1:15">
      <c r="A2914" s="4">
        <v>42677</v>
      </c>
      <c r="B2914" s="6" t="s">
        <v>30</v>
      </c>
      <c r="C2914" s="6" t="s">
        <v>47</v>
      </c>
      <c r="D2914" s="7">
        <v>290</v>
      </c>
      <c r="E2914" s="9">
        <v>2500</v>
      </c>
      <c r="F2914" s="3" t="s">
        <v>8</v>
      </c>
      <c r="G2914" s="5">
        <v>6</v>
      </c>
      <c r="H2914" s="5">
        <v>5</v>
      </c>
      <c r="I2914" s="5">
        <v>0</v>
      </c>
      <c r="J2914" s="5">
        <v>0</v>
      </c>
      <c r="K2914" s="2">
        <f t="shared" si="3702"/>
        <v>-2500</v>
      </c>
      <c r="L2914" s="52">
        <v>0</v>
      </c>
      <c r="M2914" s="52">
        <f>(IF(F2914="SELL",IF(J2914="",0,I2914-J2914),IF(F2914="BUY",IF(J2914="",0,(J2914-I2914)))))*E2914</f>
        <v>0</v>
      </c>
      <c r="N2914" s="2">
        <f t="shared" si="3720"/>
        <v>-1</v>
      </c>
      <c r="O2914" s="2">
        <f t="shared" si="3722"/>
        <v>-2500</v>
      </c>
    </row>
    <row r="2915" spans="1:15">
      <c r="A2915" s="4">
        <v>42677</v>
      </c>
      <c r="B2915" s="6" t="s">
        <v>29</v>
      </c>
      <c r="C2915" s="6" t="s">
        <v>46</v>
      </c>
      <c r="D2915" s="7">
        <v>270</v>
      </c>
      <c r="E2915" s="9">
        <v>2500</v>
      </c>
      <c r="F2915" s="3" t="s">
        <v>8</v>
      </c>
      <c r="G2915" s="5">
        <v>5</v>
      </c>
      <c r="H2915" s="5">
        <v>5.5</v>
      </c>
      <c r="I2915" s="5">
        <v>6</v>
      </c>
      <c r="J2915" s="5">
        <v>6.5</v>
      </c>
      <c r="K2915" s="2">
        <f t="shared" si="3702"/>
        <v>1250</v>
      </c>
      <c r="L2915" s="52">
        <f t="shared" si="3721"/>
        <v>1250</v>
      </c>
      <c r="M2915" s="52">
        <f>(IF(F2915="SELL",IF(J2915="",0,I2915-J2915),IF(F2915="BUY",IF(J2915="",0,(J2915-I2915)))))*E2915</f>
        <v>1250</v>
      </c>
      <c r="N2915" s="2">
        <f t="shared" si="3720"/>
        <v>1.5</v>
      </c>
      <c r="O2915" s="2">
        <f t="shared" si="3722"/>
        <v>3750</v>
      </c>
    </row>
    <row r="2916" spans="1:15">
      <c r="A2916" s="4">
        <v>42676</v>
      </c>
      <c r="B2916" s="6" t="s">
        <v>39</v>
      </c>
      <c r="C2916" s="6" t="s">
        <v>46</v>
      </c>
      <c r="D2916" s="7">
        <v>1020</v>
      </c>
      <c r="E2916" s="9">
        <v>500</v>
      </c>
      <c r="F2916" s="3" t="s">
        <v>8</v>
      </c>
      <c r="G2916" s="5">
        <v>14</v>
      </c>
      <c r="H2916" s="5">
        <v>16</v>
      </c>
      <c r="I2916" s="5">
        <v>18</v>
      </c>
      <c r="J2916" s="5">
        <v>0</v>
      </c>
      <c r="K2916" s="2">
        <f t="shared" si="3702"/>
        <v>1000</v>
      </c>
      <c r="L2916" s="52">
        <f t="shared" si="3721"/>
        <v>1000</v>
      </c>
      <c r="M2916" s="52">
        <v>0</v>
      </c>
      <c r="N2916" s="2">
        <f t="shared" si="3720"/>
        <v>4</v>
      </c>
      <c r="O2916" s="2">
        <f t="shared" si="3722"/>
        <v>2000</v>
      </c>
    </row>
    <row r="2917" spans="1:15">
      <c r="A2917" s="4">
        <v>42676</v>
      </c>
      <c r="B2917" s="6" t="s">
        <v>21</v>
      </c>
      <c r="C2917" s="6" t="s">
        <v>46</v>
      </c>
      <c r="D2917" s="7">
        <v>245</v>
      </c>
      <c r="E2917" s="9">
        <v>3000</v>
      </c>
      <c r="F2917" s="3" t="s">
        <v>8</v>
      </c>
      <c r="G2917" s="5">
        <v>5.5</v>
      </c>
      <c r="H2917" s="5">
        <v>6</v>
      </c>
      <c r="I2917" s="5">
        <v>0</v>
      </c>
      <c r="J2917" s="5">
        <v>0</v>
      </c>
      <c r="K2917" s="2">
        <f t="shared" si="3702"/>
        <v>1500</v>
      </c>
      <c r="L2917" s="52">
        <v>0</v>
      </c>
      <c r="M2917" s="52">
        <f>(IF(F2917="SELL",IF(J2917="",0,I2917-J2917),IF(F2917="BUY",IF(J2917="",0,(J2917-I2917)))))*E2917</f>
        <v>0</v>
      </c>
      <c r="N2917" s="2">
        <f t="shared" si="3720"/>
        <v>0.5</v>
      </c>
      <c r="O2917" s="2">
        <f t="shared" si="3722"/>
        <v>1500</v>
      </c>
    </row>
    <row r="2918" spans="1:15">
      <c r="A2918" s="4">
        <v>42676</v>
      </c>
      <c r="B2918" s="6" t="s">
        <v>21</v>
      </c>
      <c r="C2918" s="6" t="s">
        <v>47</v>
      </c>
      <c r="D2918" s="7">
        <v>265</v>
      </c>
      <c r="E2918" s="9">
        <v>3000</v>
      </c>
      <c r="F2918" s="3" t="s">
        <v>8</v>
      </c>
      <c r="G2918" s="5">
        <v>6.5</v>
      </c>
      <c r="H2918" s="5">
        <v>7</v>
      </c>
      <c r="I2918" s="5">
        <v>7.5</v>
      </c>
      <c r="J2918" s="5">
        <v>0</v>
      </c>
      <c r="K2918" s="2">
        <f t="shared" si="3702"/>
        <v>1500</v>
      </c>
      <c r="L2918" s="52">
        <f t="shared" si="3721"/>
        <v>1500</v>
      </c>
      <c r="M2918" s="52">
        <v>0</v>
      </c>
      <c r="N2918" s="2">
        <f t="shared" si="3720"/>
        <v>1</v>
      </c>
      <c r="O2918" s="2">
        <f t="shared" si="3722"/>
        <v>3000</v>
      </c>
    </row>
    <row r="2919" spans="1:15">
      <c r="A2919" s="4">
        <v>42675</v>
      </c>
      <c r="B2919" s="6" t="s">
        <v>41</v>
      </c>
      <c r="C2919" s="6" t="s">
        <v>46</v>
      </c>
      <c r="D2919" s="7">
        <v>490</v>
      </c>
      <c r="E2919" s="9">
        <v>1500</v>
      </c>
      <c r="F2919" s="3" t="s">
        <v>8</v>
      </c>
      <c r="G2919" s="5">
        <v>6.5</v>
      </c>
      <c r="H2919" s="5">
        <v>7.3</v>
      </c>
      <c r="I2919" s="5">
        <v>0</v>
      </c>
      <c r="J2919" s="5">
        <v>0</v>
      </c>
      <c r="K2919" s="2">
        <f t="shared" si="3702"/>
        <v>1199.9999999999998</v>
      </c>
      <c r="L2919" s="52">
        <v>0</v>
      </c>
      <c r="M2919" s="52">
        <f>(IF(F2919="SELL",IF(J2919="",0,I2919-J2919),IF(F2919="BUY",IF(J2919="",0,(J2919-I2919)))))*E2919</f>
        <v>0</v>
      </c>
      <c r="N2919" s="2">
        <f t="shared" si="3720"/>
        <v>0.79999999999999982</v>
      </c>
      <c r="O2919" s="2">
        <f t="shared" si="3722"/>
        <v>1199.9999999999998</v>
      </c>
    </row>
    <row r="2920" spans="1:15">
      <c r="A2920" s="4">
        <v>42675</v>
      </c>
      <c r="B2920" s="6" t="s">
        <v>16</v>
      </c>
      <c r="C2920" s="6" t="s">
        <v>47</v>
      </c>
      <c r="D2920" s="7">
        <v>320</v>
      </c>
      <c r="E2920" s="9">
        <v>2500</v>
      </c>
      <c r="F2920" s="3" t="s">
        <v>8</v>
      </c>
      <c r="G2920" s="5">
        <v>7.5</v>
      </c>
      <c r="H2920" s="5">
        <v>6.5</v>
      </c>
      <c r="I2920" s="5">
        <v>0</v>
      </c>
      <c r="J2920" s="5">
        <v>0</v>
      </c>
      <c r="K2920" s="2">
        <f t="shared" si="3702"/>
        <v>-2500</v>
      </c>
      <c r="L2920" s="52">
        <v>0</v>
      </c>
      <c r="M2920" s="52">
        <f>(IF(F2920="SELL",IF(J2920="",0,I2920-J2920),IF(F2920="BUY",IF(J2920="",0,(J2920-I2920)))))*E2920</f>
        <v>0</v>
      </c>
      <c r="N2920" s="2">
        <f t="shared" si="3720"/>
        <v>-1</v>
      </c>
      <c r="O2920" s="2">
        <f t="shared" si="3722"/>
        <v>-2500</v>
      </c>
    </row>
    <row r="2921" spans="1:15">
      <c r="A2921" s="4">
        <v>42675</v>
      </c>
      <c r="B2921" s="6" t="s">
        <v>21</v>
      </c>
      <c r="C2921" s="6" t="s">
        <v>46</v>
      </c>
      <c r="D2921" s="7">
        <v>260</v>
      </c>
      <c r="E2921" s="9">
        <v>3000</v>
      </c>
      <c r="F2921" s="3" t="s">
        <v>8</v>
      </c>
      <c r="G2921" s="5">
        <v>3.5</v>
      </c>
      <c r="H2921" s="5">
        <v>4</v>
      </c>
      <c r="I2921" s="5">
        <v>4.5</v>
      </c>
      <c r="J2921" s="5">
        <v>5</v>
      </c>
      <c r="K2921" s="2">
        <f t="shared" si="3702"/>
        <v>1500</v>
      </c>
      <c r="L2921" s="52">
        <f t="shared" si="3721"/>
        <v>1500</v>
      </c>
      <c r="M2921" s="52">
        <f>(IF(F2921="SELL",IF(J2921="",0,I2921-J2921),IF(F2921="BUY",IF(J2921="",0,(J2921-I2921)))))*E2921</f>
        <v>1500</v>
      </c>
      <c r="N2921" s="2">
        <f t="shared" si="3720"/>
        <v>1.5</v>
      </c>
      <c r="O2921" s="2">
        <f t="shared" si="3722"/>
        <v>4500</v>
      </c>
    </row>
  </sheetData>
  <mergeCells count="19">
    <mergeCell ref="A1:C5"/>
    <mergeCell ref="D1:N3"/>
    <mergeCell ref="D4:N4"/>
    <mergeCell ref="D5:N5"/>
    <mergeCell ref="C6:C8"/>
    <mergeCell ref="A6:A8"/>
    <mergeCell ref="B6:B8"/>
    <mergeCell ref="D6:D8"/>
    <mergeCell ref="E6:E8"/>
    <mergeCell ref="L6:L8"/>
    <mergeCell ref="M6:M8"/>
    <mergeCell ref="N6:N8"/>
    <mergeCell ref="O6:O8"/>
    <mergeCell ref="F6:F8"/>
    <mergeCell ref="G6:G8"/>
    <mergeCell ref="H6:H8"/>
    <mergeCell ref="I6:I8"/>
    <mergeCell ref="J6:J8"/>
    <mergeCell ref="K6:K8"/>
  </mergeCells>
  <pageMargins left="0.7" right="0.7" top="0.75" bottom="0.75" header="0.3" footer="0.3"/>
  <pageSetup orientation="portrait" r:id="rId1"/>
  <ignoredErrors>
    <ignoredError sqref="L1343 L32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BASIC OPTION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</dc:creator>
  <cp:lastModifiedBy>Admin</cp:lastModifiedBy>
  <dcterms:created xsi:type="dcterms:W3CDTF">2017-02-19T00:29:44Z</dcterms:created>
  <dcterms:modified xsi:type="dcterms:W3CDTF">2021-07-09T10:00:46Z</dcterms:modified>
</cp:coreProperties>
</file>